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-15" windowWidth="28860" windowHeight="7275"/>
  </bookViews>
  <sheets>
    <sheet name="Template" sheetId="3" r:id="rId1"/>
    <sheet name="Calculations &amp; sample data" sheetId="4" r:id="rId2"/>
  </sheets>
  <definedNames>
    <definedName name="solver_adj" localSheetId="1" hidden="1">'Calculations &amp; sample data'!#REF!</definedName>
    <definedName name="solver_adj" localSheetId="0" hidden="1">Template!#REF!</definedName>
    <definedName name="solver_cvg" localSheetId="1" hidden="1">0.00001</definedName>
    <definedName name="solver_cvg" localSheetId="0" hidden="1">0.00001</definedName>
    <definedName name="solver_drv" localSheetId="1" hidden="1">1</definedName>
    <definedName name="solver_drv" localSheetId="0" hidden="1">1</definedName>
    <definedName name="solver_est" localSheetId="1" hidden="1">1</definedName>
    <definedName name="solver_est" localSheetId="0" hidden="1">1</definedName>
    <definedName name="solver_itr" localSheetId="1" hidden="1">1000</definedName>
    <definedName name="solver_itr" localSheetId="0" hidden="1">1000</definedName>
    <definedName name="solver_lin" localSheetId="1" hidden="1">2</definedName>
    <definedName name="solver_lin" localSheetId="0" hidden="1">2</definedName>
    <definedName name="solver_neg" localSheetId="1" hidden="1">2</definedName>
    <definedName name="solver_neg" localSheetId="0" hidden="1">2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'Calculations &amp; sample data'!#REF!</definedName>
    <definedName name="solver_opt" localSheetId="0" hidden="1">Template!#REF!</definedName>
    <definedName name="solver_pre" localSheetId="1" hidden="1">0.0001</definedName>
    <definedName name="solver_pre" localSheetId="0" hidden="1">0.0001</definedName>
    <definedName name="solver_scl" localSheetId="1" hidden="1">2</definedName>
    <definedName name="solver_scl" localSheetId="0" hidden="1">2</definedName>
    <definedName name="solver_sho" localSheetId="1" hidden="1">2</definedName>
    <definedName name="solver_sho" localSheetId="0" hidden="1">2</definedName>
    <definedName name="solver_tim" localSheetId="1" hidden="1">100</definedName>
    <definedName name="solver_tim" localSheetId="0" hidden="1">100</definedName>
    <definedName name="solver_tol" localSheetId="1" hidden="1">0.005</definedName>
    <definedName name="solver_tol" localSheetId="0" hidden="1">0.005</definedName>
    <definedName name="solver_typ" localSheetId="1" hidden="1">3</definedName>
    <definedName name="solver_typ" localSheetId="0" hidden="1">3</definedName>
    <definedName name="solver_val" localSheetId="1" hidden="1">0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E15" i="3"/>
  <c r="C16"/>
  <c r="C15"/>
  <c r="C17" l="1"/>
  <c r="M130" i="4" l="1"/>
  <c r="M131" s="1"/>
  <c r="M132" s="1"/>
  <c r="M133" s="1"/>
  <c r="M134" s="1"/>
  <c r="M135" s="1"/>
  <c r="M136" s="1"/>
  <c r="M137" s="1"/>
  <c r="M138" s="1"/>
  <c r="M129"/>
  <c r="M110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T109"/>
  <c r="R109"/>
  <c r="D78"/>
  <c r="D77"/>
  <c r="C75"/>
  <c r="C76" s="1"/>
  <c r="C73"/>
  <c r="C74" s="1"/>
  <c r="C51"/>
  <c r="C52" s="1"/>
  <c r="C53" s="1"/>
  <c r="C41"/>
  <c r="C42" s="1"/>
  <c r="C43" s="1"/>
  <c r="C22"/>
  <c r="E21"/>
  <c r="C21"/>
  <c r="C16"/>
  <c r="E15"/>
  <c r="C15"/>
  <c r="D78" i="3"/>
  <c r="D77"/>
  <c r="C75"/>
  <c r="C76" s="1"/>
  <c r="C73"/>
  <c r="C74" s="1"/>
  <c r="M149"/>
  <c r="M150" s="1"/>
  <c r="M151" s="1"/>
  <c r="M152" s="1"/>
  <c r="M153" s="1"/>
  <c r="M154" s="1"/>
  <c r="M155" s="1"/>
  <c r="M156" s="1"/>
  <c r="M157" s="1"/>
  <c r="M158" s="1"/>
  <c r="C51"/>
  <c r="C52" s="1"/>
  <c r="C53" s="1"/>
  <c r="C41"/>
  <c r="C42" s="1"/>
  <c r="C43" s="1"/>
  <c r="M133"/>
  <c r="M134" s="1"/>
  <c r="M135" s="1"/>
  <c r="M136" s="1"/>
  <c r="M137" s="1"/>
  <c r="M138" s="1"/>
  <c r="M139" s="1"/>
  <c r="M140" s="1"/>
  <c r="M141" s="1"/>
  <c r="M142" s="1"/>
  <c r="M143" s="1"/>
  <c r="M144" s="1"/>
  <c r="M132"/>
  <c r="M131"/>
  <c r="M130"/>
  <c r="T129"/>
  <c r="R129"/>
  <c r="C22"/>
  <c r="E21"/>
  <c r="C21"/>
  <c r="C23" i="4" l="1"/>
  <c r="C17"/>
  <c r="U109"/>
  <c r="S109"/>
  <c r="C23" i="3"/>
  <c r="C25" s="1"/>
  <c r="S129"/>
  <c r="U129"/>
  <c r="C28" l="1"/>
  <c r="P129" s="1"/>
  <c r="E25"/>
  <c r="E28" s="1"/>
  <c r="C25" i="4"/>
  <c r="E25" s="1"/>
  <c r="E28" s="1"/>
  <c r="U117"/>
  <c r="T117" s="1"/>
  <c r="U118"/>
  <c r="T118" s="1"/>
  <c r="U110"/>
  <c r="T110" s="1"/>
  <c r="U119"/>
  <c r="U111"/>
  <c r="T111" s="1"/>
  <c r="U112"/>
  <c r="T112" s="1"/>
  <c r="U113"/>
  <c r="T113" s="1"/>
  <c r="U114"/>
  <c r="T114" s="1"/>
  <c r="U115"/>
  <c r="T115" s="1"/>
  <c r="U116"/>
  <c r="T116" s="1"/>
  <c r="S119"/>
  <c r="S111"/>
  <c r="R111" s="1"/>
  <c r="S112"/>
  <c r="R112" s="1"/>
  <c r="S113"/>
  <c r="R113" s="1"/>
  <c r="S110"/>
  <c r="R110" s="1"/>
  <c r="S114"/>
  <c r="R114" s="1"/>
  <c r="S115"/>
  <c r="R115" s="1"/>
  <c r="S116"/>
  <c r="R116" s="1"/>
  <c r="S117"/>
  <c r="R117" s="1"/>
  <c r="S118"/>
  <c r="R118" s="1"/>
  <c r="S136" i="3"/>
  <c r="R136" s="1"/>
  <c r="S132"/>
  <c r="R132" s="1"/>
  <c r="S133"/>
  <c r="R133" s="1"/>
  <c r="S139"/>
  <c r="S137"/>
  <c r="R137" s="1"/>
  <c r="S138"/>
  <c r="R138" s="1"/>
  <c r="S134"/>
  <c r="R134" s="1"/>
  <c r="S130"/>
  <c r="R130" s="1"/>
  <c r="S131"/>
  <c r="R131" s="1"/>
  <c r="S135"/>
  <c r="R135" s="1"/>
  <c r="U135"/>
  <c r="T135" s="1"/>
  <c r="U130"/>
  <c r="T130" s="1"/>
  <c r="U139"/>
  <c r="U131"/>
  <c r="T131" s="1"/>
  <c r="U136"/>
  <c r="T136" s="1"/>
  <c r="U133"/>
  <c r="T133" s="1"/>
  <c r="U134"/>
  <c r="T134" s="1"/>
  <c r="U132"/>
  <c r="T132" s="1"/>
  <c r="U137"/>
  <c r="T137" s="1"/>
  <c r="U138"/>
  <c r="T138" s="1"/>
  <c r="C28" i="4" l="1"/>
  <c r="C69" s="1"/>
  <c r="O119"/>
  <c r="Q119"/>
  <c r="S122"/>
  <c r="R122" s="1"/>
  <c r="S124"/>
  <c r="R124" s="1"/>
  <c r="S121"/>
  <c r="R121" s="1"/>
  <c r="S123"/>
  <c r="R123" s="1"/>
  <c r="S120"/>
  <c r="R120" s="1"/>
  <c r="R119"/>
  <c r="U123"/>
  <c r="T123" s="1"/>
  <c r="U120"/>
  <c r="T120" s="1"/>
  <c r="U122"/>
  <c r="T122" s="1"/>
  <c r="U124"/>
  <c r="T124" s="1"/>
  <c r="U121"/>
  <c r="T121" s="1"/>
  <c r="T119"/>
  <c r="C50" i="3"/>
  <c r="N129"/>
  <c r="U141"/>
  <c r="T141" s="1"/>
  <c r="U144"/>
  <c r="T144" s="1"/>
  <c r="U143"/>
  <c r="T143" s="1"/>
  <c r="U140"/>
  <c r="T140" s="1"/>
  <c r="U142"/>
  <c r="T142" s="1"/>
  <c r="T139"/>
  <c r="S140"/>
  <c r="R140" s="1"/>
  <c r="S143"/>
  <c r="R143" s="1"/>
  <c r="S142"/>
  <c r="R142" s="1"/>
  <c r="S141"/>
  <c r="R141" s="1"/>
  <c r="S144"/>
  <c r="R144" s="1"/>
  <c r="R139"/>
  <c r="P132" l="1"/>
  <c r="Q132" s="1"/>
  <c r="C70" i="4"/>
  <c r="C54"/>
  <c r="C40"/>
  <c r="N110" s="1"/>
  <c r="O110" s="1"/>
  <c r="C50"/>
  <c r="N109"/>
  <c r="C44"/>
  <c r="P109"/>
  <c r="P139" i="3"/>
  <c r="O139"/>
  <c r="P130"/>
  <c r="Q130" s="1"/>
  <c r="P134"/>
  <c r="Q134" s="1"/>
  <c r="P131"/>
  <c r="Q131" s="1"/>
  <c r="P136"/>
  <c r="Q136" s="1"/>
  <c r="C44"/>
  <c r="Q129"/>
  <c r="P138"/>
  <c r="Q138" s="1"/>
  <c r="P137"/>
  <c r="Q137" s="1"/>
  <c r="C70"/>
  <c r="C54"/>
  <c r="C55" s="1"/>
  <c r="C56" s="1"/>
  <c r="C57" s="1"/>
  <c r="C69"/>
  <c r="P135"/>
  <c r="Q135" s="1"/>
  <c r="P133"/>
  <c r="Q133" s="1"/>
  <c r="C40"/>
  <c r="N134" s="1"/>
  <c r="O134" s="1"/>
  <c r="P140"/>
  <c r="Q139"/>
  <c r="C55" i="4" l="1"/>
  <c r="C56" s="1"/>
  <c r="C57" s="1"/>
  <c r="P120"/>
  <c r="P116"/>
  <c r="Q116" s="1"/>
  <c r="P112"/>
  <c r="Q112" s="1"/>
  <c r="N130" i="3"/>
  <c r="O130" s="1"/>
  <c r="N133"/>
  <c r="O133" s="1"/>
  <c r="N137"/>
  <c r="O137" s="1"/>
  <c r="C45" i="4"/>
  <c r="C46" s="1"/>
  <c r="C47" s="1"/>
  <c r="P111"/>
  <c r="Q111" s="1"/>
  <c r="N111"/>
  <c r="O111" s="1"/>
  <c r="N117"/>
  <c r="O117" s="1"/>
  <c r="P119"/>
  <c r="N119"/>
  <c r="N116"/>
  <c r="O116" s="1"/>
  <c r="N113"/>
  <c r="O113" s="1"/>
  <c r="P117"/>
  <c r="Q117" s="1"/>
  <c r="P114"/>
  <c r="Q114" s="1"/>
  <c r="N114"/>
  <c r="O114" s="1"/>
  <c r="N120"/>
  <c r="O109"/>
  <c r="N115"/>
  <c r="O115" s="1"/>
  <c r="P118"/>
  <c r="Q118" s="1"/>
  <c r="N118"/>
  <c r="O118" s="1"/>
  <c r="Q109"/>
  <c r="P115"/>
  <c r="Q115" s="1"/>
  <c r="P113"/>
  <c r="Q113" s="1"/>
  <c r="N112"/>
  <c r="O112" s="1"/>
  <c r="P110"/>
  <c r="Q110" s="1"/>
  <c r="N138" i="3"/>
  <c r="O138" s="1"/>
  <c r="N139"/>
  <c r="N140"/>
  <c r="E56"/>
  <c r="E57" s="1"/>
  <c r="C58" s="1"/>
  <c r="C45"/>
  <c r="C46" s="1"/>
  <c r="E46" s="1"/>
  <c r="E47" s="1"/>
  <c r="N131"/>
  <c r="O131" s="1"/>
  <c r="N136"/>
  <c r="O136" s="1"/>
  <c r="N132"/>
  <c r="O132" s="1"/>
  <c r="O129"/>
  <c r="N135"/>
  <c r="O135" s="1"/>
  <c r="E56" i="4" l="1"/>
  <c r="E57" s="1"/>
  <c r="C58" s="1"/>
  <c r="C47" i="3"/>
  <c r="E46" i="4"/>
  <c r="E47" s="1"/>
  <c r="C48" s="1"/>
  <c r="C48" i="3" l="1"/>
  <c r="C71" s="1"/>
  <c r="C77" s="1"/>
  <c r="E77" s="1"/>
  <c r="C79" s="1"/>
  <c r="N148" s="1"/>
  <c r="N157" s="1"/>
  <c r="C72" i="4"/>
  <c r="C78" s="1"/>
  <c r="E78" s="1"/>
  <c r="C80" s="1"/>
  <c r="C71"/>
  <c r="C77" s="1"/>
  <c r="E77" s="1"/>
  <c r="C79" s="1"/>
  <c r="C72" i="3" l="1"/>
  <c r="C78" s="1"/>
  <c r="E78" s="1"/>
  <c r="C80" s="1"/>
  <c r="P148" s="1"/>
  <c r="P156" s="1"/>
  <c r="Q128" i="4"/>
  <c r="N155" i="3"/>
  <c r="N150"/>
  <c r="N151"/>
  <c r="N156"/>
  <c r="N158"/>
  <c r="N152"/>
  <c r="N153"/>
  <c r="N154"/>
  <c r="O148"/>
  <c r="N149"/>
  <c r="C81" i="4"/>
  <c r="C82" s="1"/>
  <c r="C83" s="1"/>
  <c r="O128"/>
  <c r="P128"/>
  <c r="N128"/>
  <c r="P157" i="3" l="1"/>
  <c r="P158"/>
  <c r="P152"/>
  <c r="P150"/>
  <c r="P155"/>
  <c r="P153"/>
  <c r="P151"/>
  <c r="P149"/>
  <c r="C81"/>
  <c r="C82" s="1"/>
  <c r="C83" s="1"/>
  <c r="C84" s="1"/>
  <c r="P154"/>
  <c r="Q148"/>
  <c r="O151"/>
  <c r="O156"/>
  <c r="O153"/>
  <c r="O152"/>
  <c r="O158"/>
  <c r="O149"/>
  <c r="O155"/>
  <c r="O150"/>
  <c r="O154"/>
  <c r="O157"/>
  <c r="C84" i="4"/>
  <c r="D83"/>
  <c r="D84" s="1"/>
  <c r="N138"/>
  <c r="O138" s="1"/>
  <c r="N130"/>
  <c r="O130" s="1"/>
  <c r="N135"/>
  <c r="O135" s="1"/>
  <c r="N132"/>
  <c r="O132" s="1"/>
  <c r="N137"/>
  <c r="O137" s="1"/>
  <c r="N129"/>
  <c r="O129" s="1"/>
  <c r="N134"/>
  <c r="O134" s="1"/>
  <c r="N131"/>
  <c r="O131" s="1"/>
  <c r="N136"/>
  <c r="O136" s="1"/>
  <c r="N133"/>
  <c r="O133" s="1"/>
  <c r="P136"/>
  <c r="Q136" s="1"/>
  <c r="P133"/>
  <c r="Q133" s="1"/>
  <c r="P138"/>
  <c r="Q138" s="1"/>
  <c r="P130"/>
  <c r="Q130" s="1"/>
  <c r="P135"/>
  <c r="Q135" s="1"/>
  <c r="P132"/>
  <c r="Q132" s="1"/>
  <c r="P137"/>
  <c r="Q137" s="1"/>
  <c r="P129"/>
  <c r="Q129" s="1"/>
  <c r="P134"/>
  <c r="Q134" s="1"/>
  <c r="P131"/>
  <c r="Q131" s="1"/>
  <c r="Q158" i="3" l="1"/>
  <c r="D83"/>
  <c r="D84" s="1"/>
  <c r="Q152"/>
  <c r="Q155"/>
  <c r="Q153"/>
  <c r="Q150"/>
  <c r="Q156"/>
  <c r="Q149"/>
  <c r="Q151"/>
  <c r="Q157"/>
  <c r="Q154"/>
</calcChain>
</file>

<file path=xl/sharedStrings.xml><?xml version="1.0" encoding="utf-8"?>
<sst xmlns="http://schemas.openxmlformats.org/spreadsheetml/2006/main" count="180" uniqueCount="75">
  <si>
    <t>x</t>
  </si>
  <si>
    <t>y</t>
  </si>
  <si>
    <t>z</t>
  </si>
  <si>
    <t>mid pt</t>
  </si>
  <si>
    <t>inverse slope</t>
  </si>
  <si>
    <t>y intercept</t>
  </si>
  <si>
    <t>Degrees</t>
  </si>
  <si>
    <t>deg</t>
  </si>
  <si>
    <t>Finding seat back "hinge" point</t>
  </si>
  <si>
    <t>Point 1</t>
  </si>
  <si>
    <t>Point 1 with seat reclined</t>
  </si>
  <si>
    <t>Point 2</t>
  </si>
  <si>
    <t>Point 2 with seat reclined</t>
  </si>
  <si>
    <t>Calculated hinge point</t>
  </si>
  <si>
    <t>Hinge point at test</t>
  </si>
  <si>
    <t>Center pot attachment to driver seatback</t>
  </si>
  <si>
    <t>Center pot cable at sensor housing</t>
  </si>
  <si>
    <t>Inboard pot attachment to driver seatback</t>
  </si>
  <si>
    <t>Inboard pot cable at sensor housing</t>
  </si>
  <si>
    <t>Radius from seatback hinge point to center pot attachment</t>
  </si>
  <si>
    <t>Radius from seatback hinge point to inboard pot attachment</t>
  </si>
  <si>
    <t>Center pot pretest length</t>
  </si>
  <si>
    <t>Center pot pull-out at time of maximum dummy excursion</t>
  </si>
  <si>
    <t>Center pot length with pull-out</t>
  </si>
  <si>
    <t>Distance from center pot housing to hinge point</t>
  </si>
  <si>
    <t>Coordinates of center pot attachment at max excursion</t>
  </si>
  <si>
    <t>Seat movement at center pot attachment</t>
  </si>
  <si>
    <t>Seatback deflection angle at center pot attachment</t>
  </si>
  <si>
    <t>Inboard pot pretest length</t>
  </si>
  <si>
    <t>Inboard pot pull-out at time of maximum dummy excursion</t>
  </si>
  <si>
    <t>Inboard pot length with pull-out</t>
  </si>
  <si>
    <t>Distance from inboard pot housing to hinge point</t>
  </si>
  <si>
    <t>Inboard pot length with pull-out, excluding lateral component</t>
  </si>
  <si>
    <t>Center pot length with pull-out, excluding lateral component</t>
  </si>
  <si>
    <t>Seat movement at inboard pot attachment</t>
  </si>
  <si>
    <t>Seatback deflection angle at inboard pot attachment</t>
  </si>
  <si>
    <t>Distance from hinge point to line joining circumference intersections</t>
  </si>
  <si>
    <t>Finding overall dummy excursion</t>
  </si>
  <si>
    <t>Tape attachment bracket on dummy</t>
  </si>
  <si>
    <t>Center tape at seatback</t>
  </si>
  <si>
    <t>Inboard tape at seatback</t>
  </si>
  <si>
    <t>Center tape test pull-out</t>
  </si>
  <si>
    <t>Inboard tape test pull-out</t>
  </si>
  <si>
    <t>Radius from hinge point to center tape</t>
  </si>
  <si>
    <t>Radius from hinge point to inboard tape</t>
  </si>
  <si>
    <t>Seatback deflection angle at center tape lateral coordinate</t>
  </si>
  <si>
    <t>Seatback deflection angle at inboard tape lateral coordinate</t>
  </si>
  <si>
    <t>Center tape pretest length</t>
  </si>
  <si>
    <t>Center tape at seatback, deflected</t>
  </si>
  <si>
    <t>Inboard tape at seatback, deflected</t>
  </si>
  <si>
    <t>Inboard tape pretest length</t>
  </si>
  <si>
    <t>Center tape length with pull-out</t>
  </si>
  <si>
    <t>Inboard tape length with pull-out</t>
  </si>
  <si>
    <t>Center tape length with pull-out, excluding vertical component</t>
  </si>
  <si>
    <t>Inboard tape length with pull-out, excluding vertical component</t>
  </si>
  <si>
    <t>Distance from center tape to inboard tape seat points</t>
  </si>
  <si>
    <t>Distance from center tape to line joining circumference intersections</t>
  </si>
  <si>
    <t>Coordinates of dummy bracket at max excursion</t>
  </si>
  <si>
    <t>Excursion</t>
  </si>
  <si>
    <t>Seat back center X</t>
  </si>
  <si>
    <t>Seat back center Z</t>
  </si>
  <si>
    <t>Seat back IB X</t>
  </si>
  <si>
    <t>Seat back IB Z</t>
  </si>
  <si>
    <t>Center pot X</t>
  </si>
  <si>
    <t>Center pot Z</t>
  </si>
  <si>
    <t>IB pot X</t>
  </si>
  <si>
    <t>IB pot Z</t>
  </si>
  <si>
    <t>Finding seatback deflection at time of maximum dummy excursion</t>
  </si>
  <si>
    <t>Center string Y</t>
  </si>
  <si>
    <t>Center string X</t>
  </si>
  <si>
    <t>IB string Y</t>
  </si>
  <si>
    <t>IB string X</t>
  </si>
  <si>
    <t>Circle definitions for seat chart</t>
  </si>
  <si>
    <t>Circle definitions for dummy chart</t>
  </si>
  <si>
    <t>Was the seat pan moved after the hinge point was calculated?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</si>
</sst>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0"/>
    <numFmt numFmtId="166" formatCode="0.000000000000"/>
  </numFmts>
  <fonts count="8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78D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1" fontId="2" fillId="6" borderId="1" xfId="0" applyNumberFormat="1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center"/>
      <protection locked="0"/>
    </xf>
    <xf numFmtId="1" fontId="2" fillId="7" borderId="2" xfId="0" applyNumberFormat="1" applyFont="1" applyFill="1" applyBorder="1" applyAlignment="1" applyProtection="1">
      <alignment horizontal="center"/>
      <protection locked="0"/>
    </xf>
    <xf numFmtId="0" fontId="0" fillId="8" borderId="0" xfId="0" applyFill="1"/>
    <xf numFmtId="1" fontId="3" fillId="4" borderId="2" xfId="1" applyNumberFormat="1" applyFont="1" applyFill="1" applyBorder="1" applyAlignment="1" applyProtection="1">
      <alignment horizontal="center"/>
    </xf>
    <xf numFmtId="1" fontId="3" fillId="4" borderId="1" xfId="1" applyNumberFormat="1" applyFont="1" applyFill="1" applyBorder="1" applyAlignment="1" applyProtection="1">
      <alignment horizontal="center"/>
    </xf>
    <xf numFmtId="0" fontId="0" fillId="8" borderId="0" xfId="0" applyFill="1" applyProtection="1"/>
    <xf numFmtId="0" fontId="0" fillId="8" borderId="3" xfId="0" applyFill="1" applyBorder="1" applyProtection="1"/>
    <xf numFmtId="0" fontId="0" fillId="8" borderId="5" xfId="0" applyFill="1" applyBorder="1" applyProtection="1"/>
    <xf numFmtId="0" fontId="0" fillId="8" borderId="6" xfId="0" applyFill="1" applyBorder="1" applyProtection="1"/>
    <xf numFmtId="0" fontId="0" fillId="8" borderId="0" xfId="0" applyFill="1" applyBorder="1" applyProtection="1"/>
    <xf numFmtId="0" fontId="6" fillId="8" borderId="0" xfId="0" applyFont="1" applyFill="1" applyBorder="1" applyAlignment="1" applyProtection="1">
      <alignment horizontal="center"/>
    </xf>
    <xf numFmtId="0" fontId="0" fillId="8" borderId="7" xfId="0" applyFill="1" applyBorder="1" applyProtection="1"/>
    <xf numFmtId="0" fontId="1" fillId="2" borderId="1" xfId="1" applyFont="1" applyFill="1" applyBorder="1" applyAlignment="1" applyProtection="1">
      <alignment horizontal="right"/>
    </xf>
    <xf numFmtId="1" fontId="0" fillId="8" borderId="7" xfId="0" applyNumberFormat="1" applyFill="1" applyBorder="1" applyProtection="1"/>
    <xf numFmtId="1" fontId="0" fillId="8" borderId="0" xfId="0" applyNumberFormat="1" applyFill="1" applyProtection="1"/>
    <xf numFmtId="0" fontId="0" fillId="8" borderId="0" xfId="0" applyFill="1" applyBorder="1" applyAlignment="1" applyProtection="1">
      <alignment horizontal="right"/>
    </xf>
    <xf numFmtId="0" fontId="1" fillId="3" borderId="1" xfId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1" fontId="0" fillId="8" borderId="0" xfId="0" applyNumberFormat="1" applyFill="1" applyBorder="1" applyProtection="1"/>
    <xf numFmtId="0" fontId="0" fillId="8" borderId="8" xfId="0" applyFill="1" applyBorder="1" applyProtection="1"/>
    <xf numFmtId="0" fontId="0" fillId="8" borderId="9" xfId="0" applyFill="1" applyBorder="1" applyProtection="1"/>
    <xf numFmtId="0" fontId="0" fillId="8" borderId="10" xfId="0" applyFill="1" applyBorder="1" applyProtection="1"/>
    <xf numFmtId="0" fontId="5" fillId="8" borderId="0" xfId="0" applyFont="1" applyFill="1" applyBorder="1" applyAlignment="1" applyProtection="1">
      <alignment horizontal="center"/>
    </xf>
    <xf numFmtId="0" fontId="1" fillId="4" borderId="1" xfId="1" applyFont="1" applyFill="1" applyBorder="1" applyAlignment="1" applyProtection="1">
      <alignment horizontal="right"/>
    </xf>
    <xf numFmtId="1" fontId="3" fillId="8" borderId="0" xfId="1" applyNumberFormat="1" applyFont="1" applyFill="1" applyBorder="1" applyAlignment="1" applyProtection="1">
      <alignment horizontal="center"/>
    </xf>
    <xf numFmtId="164" fontId="3" fillId="4" borderId="1" xfId="1" applyNumberFormat="1" applyFont="1" applyFill="1" applyBorder="1" applyAlignment="1" applyProtection="1">
      <alignment horizontal="center"/>
    </xf>
    <xf numFmtId="1" fontId="2" fillId="8" borderId="0" xfId="0" applyNumberFormat="1" applyFont="1" applyFill="1" applyBorder="1" applyAlignment="1" applyProtection="1">
      <alignment horizontal="center"/>
    </xf>
    <xf numFmtId="1" fontId="2" fillId="8" borderId="0" xfId="1" applyNumberFormat="1" applyFont="1" applyFill="1" applyBorder="1" applyAlignment="1" applyProtection="1">
      <alignment horizontal="center"/>
    </xf>
    <xf numFmtId="2" fontId="0" fillId="8" borderId="0" xfId="0" applyNumberFormat="1" applyFill="1" applyProtection="1"/>
    <xf numFmtId="1" fontId="4" fillId="8" borderId="0" xfId="1" applyNumberFormat="1" applyFont="1" applyFill="1" applyBorder="1" applyAlignment="1" applyProtection="1">
      <alignment horizontal="left"/>
    </xf>
    <xf numFmtId="165" fontId="0" fillId="8" borderId="0" xfId="0" applyNumberFormat="1" applyFill="1" applyProtection="1"/>
    <xf numFmtId="166" fontId="0" fillId="8" borderId="0" xfId="0" applyNumberFormat="1" applyFill="1" applyProtection="1"/>
    <xf numFmtId="0" fontId="0" fillId="0" borderId="0" xfId="0" applyProtection="1"/>
    <xf numFmtId="0" fontId="7" fillId="5" borderId="0" xfId="0" applyFont="1" applyFill="1" applyProtection="1"/>
    <xf numFmtId="1" fontId="7" fillId="5" borderId="0" xfId="0" applyNumberFormat="1" applyFont="1" applyFill="1" applyProtection="1"/>
    <xf numFmtId="164" fontId="0" fillId="0" borderId="0" xfId="0" applyNumberFormat="1" applyProtection="1"/>
    <xf numFmtId="0" fontId="5" fillId="8" borderId="4" xfId="0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7878D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dummy excursion</a:t>
            </a:r>
          </a:p>
        </c:rich>
      </c:tx>
      <c:layout>
        <c:manualLayout>
          <c:xMode val="edge"/>
          <c:yMode val="edge"/>
          <c:x val="0.28230370235019681"/>
          <c:y val="1.276276301424974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05048857400588"/>
          <c:y val="5.955470351364564E-2"/>
          <c:w val="0.56823953308161068"/>
          <c:h val="0.85758481626478544"/>
        </c:manualLayout>
      </c:layout>
      <c:scatterChart>
        <c:scatterStyle val="smoothMarker"/>
        <c:ser>
          <c:idx val="7"/>
          <c:order val="6"/>
          <c:tx>
            <c:v>Circumference of center tape with pull-out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Template!$N$148:$N$158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Template!$O$148:$O$158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3"/>
          <c:order val="7"/>
          <c:tx>
            <c:v>Circumference of inboard tape with pull-out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Template!$P$148:$P$158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Template!$Q$148:$Q$158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9"/>
          <c:order val="8"/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Template!$N$148:$N$158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Template!$S$148:$S$158</c:f>
              <c:numCache>
                <c:formatCode>General</c:formatCode>
                <c:ptCount val="11"/>
              </c:numCache>
            </c:numRef>
          </c:yVal>
          <c:smooth val="1"/>
        </c:ser>
        <c:axId val="149142912"/>
        <c:axId val="149149952"/>
      </c:scatterChart>
      <c:scatterChart>
        <c:scatterStyle val="lineMarker"/>
        <c:ser>
          <c:idx val="0"/>
          <c:order val="0"/>
          <c:tx>
            <c:v>Dummy bracket, pretest</c:v>
          </c:tx>
          <c:spPr>
            <a:ln w="28575">
              <a:noFill/>
            </a:ln>
          </c:spPr>
          <c:xVal>
            <c:numRef>
              <c:f>Template!$D$63</c:f>
              <c:numCache>
                <c:formatCode>0</c:formatCode>
                <c:ptCount val="1"/>
              </c:numCache>
            </c:numRef>
          </c:xVal>
          <c:yVal>
            <c:numRef>
              <c:f>Template!$C$63</c:f>
              <c:numCache>
                <c:formatCode>0</c:formatCode>
                <c:ptCount val="1"/>
              </c:numCache>
            </c:numRef>
          </c:yVal>
        </c:ser>
        <c:ser>
          <c:idx val="6"/>
          <c:order val="1"/>
          <c:tx>
            <c:v>Dummy bracket, with excursion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19050">
                <a:solidFill>
                  <a:schemeClr val="accent1"/>
                </a:solidFill>
              </a:ln>
            </c:spPr>
          </c:marker>
          <c:xVal>
            <c:numRef>
              <c:f>Template!$D$83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Template!$C$83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</c:ser>
        <c:ser>
          <c:idx val="1"/>
          <c:order val="2"/>
          <c:tx>
            <c:v>Center tape at seat, pretest</c:v>
          </c:tx>
          <c:spPr>
            <a:ln w="28575">
              <a:noFill/>
            </a:ln>
          </c:spPr>
          <c:xVal>
            <c:numRef>
              <c:f>Template!$D$64</c:f>
              <c:numCache>
                <c:formatCode>0</c:formatCode>
                <c:ptCount val="1"/>
              </c:numCache>
            </c:numRef>
          </c:xVal>
          <c:yVal>
            <c:numRef>
              <c:f>Template!$C$64</c:f>
              <c:numCache>
                <c:formatCode>0</c:formatCode>
                <c:ptCount val="1"/>
              </c:numCache>
            </c:numRef>
          </c:yVal>
        </c:ser>
        <c:ser>
          <c:idx val="2"/>
          <c:order val="3"/>
          <c:tx>
            <c:v>Inboard tape at seat, pretest</c:v>
          </c:tx>
          <c:spPr>
            <a:ln w="28575">
              <a:noFill/>
            </a:ln>
          </c:spPr>
          <c:xVal>
            <c:numRef>
              <c:f>Template!$D$65</c:f>
              <c:numCache>
                <c:formatCode>0</c:formatCode>
                <c:ptCount val="1"/>
              </c:numCache>
            </c:numRef>
          </c:xVal>
          <c:yVal>
            <c:numRef>
              <c:f>Template!$C$65</c:f>
              <c:numCache>
                <c:formatCode>0</c:formatCode>
                <c:ptCount val="1"/>
              </c:numCache>
            </c:numRef>
          </c:yVal>
        </c:ser>
        <c:ser>
          <c:idx val="4"/>
          <c:order val="4"/>
          <c:tx>
            <c:v>Center tape at seat, deflected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Template!$D$77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Template!$C$77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</c:ser>
        <c:ser>
          <c:idx val="5"/>
          <c:order val="5"/>
          <c:tx>
            <c:v>Inboard tape at seat, deflected</c:v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>
                <a:solidFill>
                  <a:schemeClr val="accent3"/>
                </a:solidFill>
              </a:ln>
            </c:spPr>
          </c:marker>
          <c:xVal>
            <c:numRef>
              <c:f>Template!$D$78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Template!$C$78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</c:ser>
        <c:axId val="149142912"/>
        <c:axId val="149149952"/>
      </c:scatterChart>
      <c:valAx>
        <c:axId val="149142912"/>
        <c:scaling>
          <c:orientation val="minMax"/>
          <c:max val="14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Lateral distance from driver door striker (mm)</a:t>
                </a:r>
              </a:p>
            </c:rich>
          </c:tx>
          <c:layout/>
        </c:title>
        <c:numFmt formatCode="General" sourceLinked="1"/>
        <c:majorTickMark val="in"/>
        <c:tickLblPos val="high"/>
        <c:crossAx val="149149952"/>
        <c:crosses val="max"/>
        <c:crossBetween val="midCat"/>
      </c:valAx>
      <c:valAx>
        <c:axId val="149149952"/>
        <c:scaling>
          <c:orientation val="maxMin"/>
          <c:max val="700"/>
          <c:min val="-7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Longitudinal distance from driver door striker (mm)</a:t>
                </a:r>
              </a:p>
            </c:rich>
          </c:tx>
          <c:layout>
            <c:manualLayout>
              <c:xMode val="edge"/>
              <c:yMode val="edge"/>
              <c:x val="1.7006283285340647E-2"/>
              <c:y val="0.21141384138347252"/>
            </c:manualLayout>
          </c:layout>
        </c:title>
        <c:numFmt formatCode="General" sourceLinked="1"/>
        <c:tickLblPos val="nextTo"/>
        <c:crossAx val="149142912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71552451183728"/>
          <c:y val="0.20173623824092288"/>
          <c:w val="0.2398594052107744"/>
          <c:h val="0.62830747338494963"/>
        </c:manualLayout>
      </c:layout>
      <c:spPr>
        <a:noFill/>
        <a:ln>
          <a:solidFill>
            <a:schemeClr val="bg1">
              <a:lumMod val="50000"/>
            </a:schemeClr>
          </a:solidFill>
        </a:ln>
      </c:spPr>
    </c:legend>
    <c:dispBlanksAs val="gap"/>
  </c:chart>
  <c:spPr>
    <a:ln w="19050">
      <a:solidFill>
        <a:schemeClr val="bg1">
          <a:lumMod val="50000"/>
        </a:schemeClr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Seat back deflection at time of maximum dummy excursion</a:t>
            </a:r>
          </a:p>
        </c:rich>
      </c:tx>
      <c:layout>
        <c:manualLayout>
          <c:xMode val="edge"/>
          <c:yMode val="edge"/>
          <c:x val="0.21269939961356321"/>
          <c:y val="1.3413813397167606E-2"/>
        </c:manualLayout>
      </c:layout>
      <c:overlay val="1"/>
    </c:title>
    <c:plotArea>
      <c:layout>
        <c:manualLayout>
          <c:layoutTarget val="inner"/>
          <c:xMode val="edge"/>
          <c:yMode val="edge"/>
          <c:x val="3.6523892810094646E-2"/>
          <c:y val="7.4568972983523676E-2"/>
          <c:w val="0.68291090688419265"/>
          <c:h val="0.852657392616615"/>
        </c:manualLayout>
      </c:layout>
      <c:scatterChart>
        <c:scatterStyle val="lineMarker"/>
        <c:ser>
          <c:idx val="0"/>
          <c:order val="0"/>
          <c:tx>
            <c:v>Seatback hinge point</c:v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19050">
                <a:solidFill>
                  <a:schemeClr val="accent2"/>
                </a:solidFill>
              </a:ln>
            </c:spPr>
          </c:marker>
          <c:xVal>
            <c:numRef>
              <c:f>Template!$C$28</c:f>
            </c:numRef>
          </c:xVal>
          <c:yVal>
            <c:numRef>
              <c:f>Template!$E$28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</c:ser>
        <c:ser>
          <c:idx val="1"/>
          <c:order val="1"/>
          <c:tx>
            <c:v>Center pot at seat, pretest</c:v>
          </c:tx>
          <c:spPr>
            <a:ln w="28575">
              <a:noFill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Template!$C$33</c:f>
              <c:numCache>
                <c:formatCode>0</c:formatCode>
                <c:ptCount val="1"/>
              </c:numCache>
            </c:numRef>
          </c:xVal>
          <c:yVal>
            <c:numRef>
              <c:f>Template!$E$33</c:f>
              <c:numCache>
                <c:formatCode>0</c:formatCode>
                <c:ptCount val="1"/>
              </c:numCache>
            </c:numRef>
          </c:yVal>
        </c:ser>
        <c:ser>
          <c:idx val="3"/>
          <c:order val="2"/>
          <c:tx>
            <c:v>Inboard pot at seat, pretest</c:v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Template!$C$35</c:f>
              <c:numCache>
                <c:formatCode>0</c:formatCode>
                <c:ptCount val="1"/>
              </c:numCache>
            </c:numRef>
          </c:xVal>
          <c:yVal>
            <c:numRef>
              <c:f>Template!$E$35</c:f>
              <c:numCache>
                <c:formatCode>0</c:formatCode>
                <c:ptCount val="1"/>
              </c:numCache>
            </c:numRef>
          </c:yVal>
        </c:ser>
        <c:ser>
          <c:idx val="9"/>
          <c:order val="3"/>
          <c:tx>
            <c:v>Center pot at seat, deflected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accent3"/>
                </a:solidFill>
              </a:ln>
            </c:spPr>
          </c:marker>
          <c:xVal>
            <c:numRef>
              <c:f>Template!$C$46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Template!$E$46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</c:ser>
        <c:ser>
          <c:idx val="8"/>
          <c:order val="4"/>
          <c:tx>
            <c:v>Inboard pot at seat, deflected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>
                <a:solidFill>
                  <a:schemeClr val="tx2"/>
                </a:solidFill>
              </a:ln>
            </c:spPr>
          </c:marker>
          <c:xVal>
            <c:numRef>
              <c:f>Template!$C$56</c:f>
              <c:numCache>
                <c:formatCode>0</c:formatCode>
                <c:ptCount val="1"/>
                <c:pt idx="0">
                  <c:v>0</c:v>
                </c:pt>
              </c:numCache>
            </c:numRef>
          </c:xVal>
          <c:yVal>
            <c:numRef>
              <c:f>Template!$E$56</c:f>
              <c:numCache>
                <c:formatCode>0</c:formatCode>
                <c:ptCount val="1"/>
                <c:pt idx="0">
                  <c:v>0</c:v>
                </c:pt>
              </c:numCache>
            </c:numRef>
          </c:yVal>
        </c:ser>
        <c:ser>
          <c:idx val="2"/>
          <c:order val="5"/>
          <c:tx>
            <c:v>Center pot housing</c:v>
          </c:tx>
          <c:spPr>
            <a:ln w="28575">
              <a:noFill/>
            </a:ln>
          </c:spPr>
          <c:xVal>
            <c:numRef>
              <c:f>Template!$C$34</c:f>
              <c:numCache>
                <c:formatCode>0</c:formatCode>
                <c:ptCount val="1"/>
              </c:numCache>
            </c:numRef>
          </c:xVal>
          <c:yVal>
            <c:numRef>
              <c:f>Template!$E$34</c:f>
              <c:numCache>
                <c:formatCode>0</c:formatCode>
                <c:ptCount val="1"/>
              </c:numCache>
            </c:numRef>
          </c:yVal>
        </c:ser>
        <c:ser>
          <c:idx val="4"/>
          <c:order val="6"/>
          <c:tx>
            <c:v>Inboard pot housing</c:v>
          </c:tx>
          <c:spPr>
            <a:ln w="28575">
              <a:noFill/>
            </a:ln>
          </c:spPr>
          <c:xVal>
            <c:numRef>
              <c:f>Template!$C$36</c:f>
              <c:numCache>
                <c:formatCode>0</c:formatCode>
                <c:ptCount val="1"/>
              </c:numCache>
            </c:numRef>
          </c:xVal>
          <c:yVal>
            <c:numRef>
              <c:f>Template!$E$36</c:f>
              <c:numCache>
                <c:formatCode>0</c:formatCode>
                <c:ptCount val="1"/>
              </c:numCache>
            </c:numRef>
          </c:yVal>
        </c:ser>
        <c:axId val="152783872"/>
        <c:axId val="152794240"/>
      </c:scatterChart>
      <c:scatterChart>
        <c:scatterStyle val="smoothMarker"/>
        <c:ser>
          <c:idx val="5"/>
          <c:order val="7"/>
          <c:tx>
            <c:v>Path of seat rotation at center pot</c:v>
          </c:tx>
          <c:spPr>
            <a:ln w="15875">
              <a:solidFill>
                <a:schemeClr val="accent3"/>
              </a:solidFill>
            </a:ln>
          </c:spPr>
          <c:marker>
            <c:symbol val="none"/>
          </c:marker>
          <c:xVal>
            <c:strRef>
              <c:f>Template!$N$129:$N$139</c:f>
              <c:strCache>
                <c:ptCount val="11"/>
                <c:pt idx="1">
                  <c:v>#VALUE!</c:v>
                </c:pt>
                <c:pt idx="2">
                  <c:v>#VALUE!</c:v>
                </c:pt>
                <c:pt idx="3">
                  <c:v>#VALUE!</c:v>
                </c:pt>
                <c:pt idx="4">
                  <c:v>#VALUE!</c:v>
                </c:pt>
                <c:pt idx="5">
                  <c:v>#VALUE!</c:v>
                </c:pt>
                <c:pt idx="6">
                  <c:v>#VALUE!</c:v>
                </c:pt>
                <c:pt idx="7">
                  <c:v>#VALUE!</c:v>
                </c:pt>
                <c:pt idx="8">
                  <c:v>#VALUE!</c:v>
                </c:pt>
                <c:pt idx="9">
                  <c:v>#VALUE!</c:v>
                </c:pt>
                <c:pt idx="10">
                  <c:v>#VALUE!</c:v>
                </c:pt>
              </c:strCache>
            </c:strRef>
          </c:xVal>
          <c:yVal>
            <c:numRef>
              <c:f>Template!$O$129:$O$139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0"/>
          <c:order val="8"/>
          <c:tx>
            <c:v>Path of seat rotation at inboard pot</c:v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xVal>
            <c:strRef>
              <c:f>Template!$P$129:$P$139</c:f>
              <c:strCache>
                <c:ptCount val="11"/>
                <c:pt idx="1">
                  <c:v>#VALUE!</c:v>
                </c:pt>
                <c:pt idx="2">
                  <c:v>#VALUE!</c:v>
                </c:pt>
                <c:pt idx="3">
                  <c:v>#VALUE!</c:v>
                </c:pt>
                <c:pt idx="4">
                  <c:v>#VALUE!</c:v>
                </c:pt>
                <c:pt idx="5">
                  <c:v>#VALUE!</c:v>
                </c:pt>
                <c:pt idx="6">
                  <c:v>#VALUE!</c:v>
                </c:pt>
                <c:pt idx="7">
                  <c:v>#VALUE!</c:v>
                </c:pt>
                <c:pt idx="8">
                  <c:v>#VALUE!</c:v>
                </c:pt>
                <c:pt idx="9">
                  <c:v>#VALUE!</c:v>
                </c:pt>
                <c:pt idx="10">
                  <c:v>#VALUE!</c:v>
                </c:pt>
              </c:strCache>
            </c:strRef>
          </c:xVal>
          <c:yVal>
            <c:numRef>
              <c:f>Template!$Q$129:$Q$139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6"/>
          <c:order val="9"/>
          <c:tx>
            <c:v>Circumference of center pot with pull-out</c:v>
          </c:tx>
          <c:spPr>
            <a:ln w="15875">
              <a:solidFill>
                <a:schemeClr val="accent3"/>
              </a:solidFill>
              <a:prstDash val="sysDash"/>
            </a:ln>
          </c:spPr>
          <c:marker>
            <c:symbol val="none"/>
          </c:marker>
          <c:xVal>
            <c:numRef>
              <c:f>Template!$R$129:$R$144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Template!$S$129:$S$144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</c:ser>
        <c:ser>
          <c:idx val="7"/>
          <c:order val="10"/>
          <c:tx>
            <c:v>Circumference of inboard pot with pull-out</c:v>
          </c:tx>
          <c:spPr>
            <a:ln w="1587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Template!$T$129:$T$144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xVal>
          <c:yVal>
            <c:numRef>
              <c:f>Template!$U$129:$U$144</c:f>
              <c:numCache>
                <c:formatCode>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1"/>
        </c:ser>
        <c:axId val="152783872"/>
        <c:axId val="152794240"/>
      </c:scatterChart>
      <c:valAx>
        <c:axId val="152783872"/>
        <c:scaling>
          <c:orientation val="minMax"/>
          <c:max val="1400"/>
          <c:min val="-2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Horizontal distance from driver door striker (mm)</a:t>
                </a:r>
              </a:p>
            </c:rich>
          </c:tx>
          <c:layout>
            <c:manualLayout>
              <c:xMode val="edge"/>
              <c:yMode val="edge"/>
              <c:x val="0.27453045222627176"/>
              <c:y val="0.94230923623234875"/>
            </c:manualLayout>
          </c:layout>
        </c:title>
        <c:numFmt formatCode="0" sourceLinked="1"/>
        <c:tickLblPos val="nextTo"/>
        <c:crossAx val="152794240"/>
        <c:crosses val="autoZero"/>
        <c:crossBetween val="midCat"/>
        <c:majorUnit val="100"/>
      </c:valAx>
      <c:valAx>
        <c:axId val="152794240"/>
        <c:scaling>
          <c:orientation val="minMax"/>
          <c:max val="400"/>
          <c:min val="-4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Vertical distance from driver door striker (mm)</a:t>
                </a:r>
              </a:p>
            </c:rich>
          </c:tx>
          <c:layout>
            <c:manualLayout>
              <c:xMode val="edge"/>
              <c:yMode val="edge"/>
              <c:x val="1.037000460415782E-2"/>
              <c:y val="0.14713744492345696"/>
            </c:manualLayout>
          </c:layout>
        </c:title>
        <c:numFmt formatCode="0" sourceLinked="1"/>
        <c:tickLblPos val="nextTo"/>
        <c:crossAx val="152783872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73855865011915178"/>
          <c:y val="3.0552368736713392E-2"/>
          <c:w val="0.25088604301213446"/>
          <c:h val="0.89967933872519423"/>
        </c:manualLayout>
      </c:layout>
      <c:spPr>
        <a:ln>
          <a:solidFill>
            <a:schemeClr val="bg1">
              <a:lumMod val="50000"/>
            </a:schemeClr>
          </a:solidFill>
        </a:ln>
      </c:spPr>
    </c:legend>
    <c:dispBlanksAs val="gap"/>
  </c:chart>
  <c:spPr>
    <a:ln w="19050">
      <a:solidFill>
        <a:schemeClr val="bg1">
          <a:lumMod val="50000"/>
        </a:schemeClr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000000000001021" l="0.70000000000000062" r="0.70000000000000062" t="0.750000000000010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dummy excursion</a:t>
            </a:r>
          </a:p>
        </c:rich>
      </c:tx>
      <c:layout>
        <c:manualLayout>
          <c:xMode val="edge"/>
          <c:yMode val="edge"/>
          <c:x val="0.28230370235019681"/>
          <c:y val="1.2762763014249742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05048857400588"/>
          <c:y val="5.9554703513645668E-2"/>
          <c:w val="0.56823953308161068"/>
          <c:h val="0.85758481626478589"/>
        </c:manualLayout>
      </c:layout>
      <c:scatterChart>
        <c:scatterStyle val="smoothMarker"/>
        <c:ser>
          <c:idx val="7"/>
          <c:order val="6"/>
          <c:tx>
            <c:v>Circumference of center tape with pull-out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'Calculations &amp; sample data'!$N$128:$N$138</c:f>
              <c:numCache>
                <c:formatCode>General</c:formatCode>
                <c:ptCount val="11"/>
                <c:pt idx="0">
                  <c:v>77.231834647369567</c:v>
                </c:pt>
                <c:pt idx="1">
                  <c:v>81.723456940743574</c:v>
                </c:pt>
                <c:pt idx="2">
                  <c:v>95.087725173163165</c:v>
                </c:pt>
                <c:pt idx="3">
                  <c:v>116.99556670728259</c:v>
                </c:pt>
                <c:pt idx="4">
                  <c:v>146.90753777657443</c:v>
                </c:pt>
                <c:pt idx="5">
                  <c:v>184.08710638117225</c:v>
                </c:pt>
                <c:pt idx="6">
                  <c:v>227.61878815011696</c:v>
                </c:pt>
                <c:pt idx="7">
                  <c:v>276.43068860488842</c:v>
                </c:pt>
                <c:pt idx="8">
                  <c:v>329.32089675888017</c:v>
                </c:pt>
                <c:pt idx="9">
                  <c:v>384.98708015480389</c:v>
                </c:pt>
                <c:pt idx="10">
                  <c:v>442.0585526119811</c:v>
                </c:pt>
              </c:numCache>
            </c:numRef>
          </c:xVal>
          <c:yVal>
            <c:numRef>
              <c:f>'Calculations &amp; sample data'!$O$128:$O$138</c:f>
              <c:numCache>
                <c:formatCode>General</c:formatCode>
                <c:ptCount val="11"/>
                <c:pt idx="0">
                  <c:v>64.832639766631814</c:v>
                </c:pt>
                <c:pt idx="1">
                  <c:v>7.7611673094547129</c:v>
                </c:pt>
                <c:pt idx="2">
                  <c:v>-47.905016086469217</c:v>
                </c:pt>
                <c:pt idx="3">
                  <c:v>-100.7952242404609</c:v>
                </c:pt>
                <c:pt idx="4">
                  <c:v>-149.60712469523233</c:v>
                </c:pt>
                <c:pt idx="5">
                  <c:v>-193.13880646417709</c:v>
                </c:pt>
                <c:pt idx="6">
                  <c:v>-230.31837506877486</c:v>
                </c:pt>
                <c:pt idx="7">
                  <c:v>-260.23034613806675</c:v>
                </c:pt>
                <c:pt idx="8">
                  <c:v>-282.13818767218618</c:v>
                </c:pt>
                <c:pt idx="9">
                  <c:v>-295.50245590460571</c:v>
                </c:pt>
                <c:pt idx="10">
                  <c:v>-299.99407819797972</c:v>
                </c:pt>
              </c:numCache>
            </c:numRef>
          </c:yVal>
          <c:smooth val="1"/>
        </c:ser>
        <c:ser>
          <c:idx val="3"/>
          <c:order val="7"/>
          <c:tx>
            <c:v>Circumference of inboard tape with pull-out</c:v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'Calculations &amp; sample data'!$P$128:$P$138</c:f>
              <c:numCache>
                <c:formatCode>General</c:formatCode>
                <c:ptCount val="11"/>
                <c:pt idx="0">
                  <c:v>150.10431529762423</c:v>
                </c:pt>
                <c:pt idx="1">
                  <c:v>155.1160807429651</c:v>
                </c:pt>
                <c:pt idx="2">
                  <c:v>170.02797078062758</c:v>
                </c:pt>
                <c:pt idx="3">
                  <c:v>194.4728051881587</c:v>
                </c:pt>
                <c:pt idx="4">
                  <c:v>227.84867101469098</c:v>
                </c:pt>
                <c:pt idx="5">
                  <c:v>269.333743675427</c:v>
                </c:pt>
                <c:pt idx="6">
                  <c:v>317.90652300039699</c:v>
                </c:pt>
                <c:pt idx="7">
                  <c:v>372.37098595880775</c:v>
                </c:pt>
                <c:pt idx="8">
                  <c:v>431.38603671543393</c:v>
                </c:pt>
                <c:pt idx="9">
                  <c:v>493.49852886092299</c:v>
                </c:pt>
                <c:pt idx="10">
                  <c:v>557.17904669911013</c:v>
                </c:pt>
              </c:numCache>
            </c:numRef>
          </c:xVal>
          <c:yVal>
            <c:numRef>
              <c:f>'Calculations &amp; sample data'!$Q$128:$Q$138</c:f>
              <c:numCache>
                <c:formatCode>General</c:formatCode>
                <c:ptCount val="11"/>
                <c:pt idx="0">
                  <c:v>60.300830864290567</c:v>
                </c:pt>
                <c:pt idx="1">
                  <c:v>-3.3796869738964617</c:v>
                </c:pt>
                <c:pt idx="2">
                  <c:v>-65.492179119385639</c:v>
                </c:pt>
                <c:pt idx="3">
                  <c:v>-124.50722987601176</c:v>
                </c:pt>
                <c:pt idx="4">
                  <c:v>-178.97169283442258</c:v>
                </c:pt>
                <c:pt idx="5">
                  <c:v>-227.54447215939251</c:v>
                </c:pt>
                <c:pt idx="6">
                  <c:v>-269.02954482012859</c:v>
                </c:pt>
                <c:pt idx="7">
                  <c:v>-302.40541064666081</c:v>
                </c:pt>
                <c:pt idx="8">
                  <c:v>-326.85024505419199</c:v>
                </c:pt>
                <c:pt idx="9">
                  <c:v>-341.76213509185442</c:v>
                </c:pt>
                <c:pt idx="10">
                  <c:v>-346.77390053719535</c:v>
                </c:pt>
              </c:numCache>
            </c:numRef>
          </c:yVal>
          <c:smooth val="1"/>
        </c:ser>
        <c:ser>
          <c:idx val="9"/>
          <c:order val="8"/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'Calculations &amp; sample data'!$N$128:$N$138</c:f>
              <c:numCache>
                <c:formatCode>General</c:formatCode>
                <c:ptCount val="11"/>
                <c:pt idx="0">
                  <c:v>77.231834647369567</c:v>
                </c:pt>
                <c:pt idx="1">
                  <c:v>81.723456940743574</c:v>
                </c:pt>
                <c:pt idx="2">
                  <c:v>95.087725173163165</c:v>
                </c:pt>
                <c:pt idx="3">
                  <c:v>116.99556670728259</c:v>
                </c:pt>
                <c:pt idx="4">
                  <c:v>146.90753777657443</c:v>
                </c:pt>
                <c:pt idx="5">
                  <c:v>184.08710638117225</c:v>
                </c:pt>
                <c:pt idx="6">
                  <c:v>227.61878815011696</c:v>
                </c:pt>
                <c:pt idx="7">
                  <c:v>276.43068860488842</c:v>
                </c:pt>
                <c:pt idx="8">
                  <c:v>329.32089675888017</c:v>
                </c:pt>
                <c:pt idx="9">
                  <c:v>384.98708015480389</c:v>
                </c:pt>
                <c:pt idx="10">
                  <c:v>442.0585526119811</c:v>
                </c:pt>
              </c:numCache>
            </c:numRef>
          </c:xVal>
          <c:yVal>
            <c:numRef>
              <c:f>'Calculations &amp; sample data'!$S$128:$S$138</c:f>
              <c:numCache>
                <c:formatCode>General</c:formatCode>
                <c:ptCount val="11"/>
              </c:numCache>
            </c:numRef>
          </c:yVal>
          <c:smooth val="1"/>
        </c:ser>
        <c:axId val="152950272"/>
        <c:axId val="152969216"/>
      </c:scatterChart>
      <c:scatterChart>
        <c:scatterStyle val="lineMarker"/>
        <c:ser>
          <c:idx val="0"/>
          <c:order val="0"/>
          <c:tx>
            <c:v>Dummy bracket, pretest</c:v>
          </c:tx>
          <c:spPr>
            <a:ln w="28575">
              <a:noFill/>
            </a:ln>
          </c:spPr>
          <c:xVal>
            <c:numRef>
              <c:f>'Calculations &amp; sample data'!$D$63</c:f>
              <c:numCache>
                <c:formatCode>0</c:formatCode>
                <c:ptCount val="1"/>
                <c:pt idx="0">
                  <c:v>441.50586924887716</c:v>
                </c:pt>
              </c:numCache>
            </c:numRef>
          </c:xVal>
          <c:yVal>
            <c:numRef>
              <c:f>'Calculations &amp; sample data'!$C$63</c:f>
              <c:numCache>
                <c:formatCode>0</c:formatCode>
                <c:ptCount val="1"/>
                <c:pt idx="0">
                  <c:v>34.736713435969008</c:v>
                </c:pt>
              </c:numCache>
            </c:numRef>
          </c:yVal>
        </c:ser>
        <c:ser>
          <c:idx val="6"/>
          <c:order val="1"/>
          <c:tx>
            <c:v>Dummy bracket, with excursion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19050">
                <a:solidFill>
                  <a:schemeClr val="accent1"/>
                </a:solidFill>
              </a:ln>
            </c:spPr>
          </c:marker>
          <c:xVal>
            <c:numRef>
              <c:f>'Calculations &amp; sample data'!$D$83</c:f>
              <c:numCache>
                <c:formatCode>0</c:formatCode>
                <c:ptCount val="1"/>
                <c:pt idx="0">
                  <c:v>344.23238387448055</c:v>
                </c:pt>
              </c:numCache>
            </c:numRef>
          </c:xVal>
          <c:yVal>
            <c:numRef>
              <c:f>'Calculations &amp; sample data'!$C$83</c:f>
              <c:numCache>
                <c:formatCode>0</c:formatCode>
                <c:ptCount val="1"/>
                <c:pt idx="0">
                  <c:v>-286.63368130975851</c:v>
                </c:pt>
              </c:numCache>
            </c:numRef>
          </c:yVal>
        </c:ser>
        <c:ser>
          <c:idx val="1"/>
          <c:order val="2"/>
          <c:tx>
            <c:v>Center tape at seat, pretest</c:v>
          </c:tx>
          <c:spPr>
            <a:ln w="28575">
              <a:noFill/>
            </a:ln>
          </c:spPr>
          <c:xVal>
            <c:numRef>
              <c:f>'Calculations &amp; sample data'!$D$64</c:f>
              <c:numCache>
                <c:formatCode>0</c:formatCode>
                <c:ptCount val="1"/>
                <c:pt idx="0">
                  <c:v>442.0585526119811</c:v>
                </c:pt>
              </c:numCache>
            </c:numRef>
          </c:xVal>
          <c:yVal>
            <c:numRef>
              <c:f>'Calculations &amp; sample data'!$C$64</c:f>
              <c:numCache>
                <c:formatCode>0</c:formatCode>
                <c:ptCount val="1"/>
                <c:pt idx="0">
                  <c:v>101.35111226474808</c:v>
                </c:pt>
              </c:numCache>
            </c:numRef>
          </c:yVal>
        </c:ser>
        <c:ser>
          <c:idx val="2"/>
          <c:order val="3"/>
          <c:tx>
            <c:v>Inboard tape at seat, pretest</c:v>
          </c:tx>
          <c:spPr>
            <a:ln w="28575">
              <a:noFill/>
            </a:ln>
          </c:spPr>
          <c:xVal>
            <c:numRef>
              <c:f>'Calculations &amp; sample data'!$D$65</c:f>
              <c:numCache>
                <c:formatCode>0</c:formatCode>
                <c:ptCount val="1"/>
                <c:pt idx="0">
                  <c:v>557.17904669911013</c:v>
                </c:pt>
              </c:numCache>
            </c:numRef>
          </c:xVal>
          <c:yVal>
            <c:numRef>
              <c:f>'Calculations &amp; sample data'!$C$65</c:f>
              <c:numCache>
                <c:formatCode>0</c:formatCode>
                <c:ptCount val="1"/>
                <c:pt idx="0">
                  <c:v>94.232121455441373</c:v>
                </c:pt>
              </c:numCache>
            </c:numRef>
          </c:yVal>
        </c:ser>
        <c:ser>
          <c:idx val="4"/>
          <c:order val="4"/>
          <c:tx>
            <c:v>Center tape at seat, deflected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'Calculations &amp; sample data'!$D$77</c:f>
              <c:numCache>
                <c:formatCode>0</c:formatCode>
                <c:ptCount val="1"/>
                <c:pt idx="0">
                  <c:v>442.0585526119811</c:v>
                </c:pt>
              </c:numCache>
            </c:numRef>
          </c:xVal>
          <c:yVal>
            <c:numRef>
              <c:f>'Calculations &amp; sample data'!$C$77</c:f>
              <c:numCache>
                <c:formatCode>0</c:formatCode>
                <c:ptCount val="1"/>
                <c:pt idx="0">
                  <c:v>64.832639766631814</c:v>
                </c:pt>
              </c:numCache>
            </c:numRef>
          </c:yVal>
        </c:ser>
        <c:ser>
          <c:idx val="5"/>
          <c:order val="5"/>
          <c:tx>
            <c:v>Inboard tape at seat, deflected</c:v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>
                <a:solidFill>
                  <a:schemeClr val="accent3"/>
                </a:solidFill>
              </a:ln>
            </c:spPr>
          </c:marker>
          <c:xVal>
            <c:numRef>
              <c:f>'Calculations &amp; sample data'!$D$78</c:f>
              <c:numCache>
                <c:formatCode>0</c:formatCode>
                <c:ptCount val="1"/>
                <c:pt idx="0">
                  <c:v>557.17904669911013</c:v>
                </c:pt>
              </c:numCache>
            </c:numRef>
          </c:xVal>
          <c:yVal>
            <c:numRef>
              <c:f>'Calculations &amp; sample data'!$C$78</c:f>
              <c:numCache>
                <c:formatCode>0</c:formatCode>
                <c:ptCount val="1"/>
                <c:pt idx="0">
                  <c:v>60.300830864290567</c:v>
                </c:pt>
              </c:numCache>
            </c:numRef>
          </c:yVal>
        </c:ser>
        <c:axId val="152950272"/>
        <c:axId val="152969216"/>
      </c:scatterChart>
      <c:valAx>
        <c:axId val="152950272"/>
        <c:scaling>
          <c:orientation val="minMax"/>
          <c:max val="1400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Lateral distance from driver door striker (mm)</a:t>
                </a:r>
              </a:p>
            </c:rich>
          </c:tx>
          <c:layout/>
        </c:title>
        <c:numFmt formatCode="General" sourceLinked="1"/>
        <c:majorTickMark val="in"/>
        <c:tickLblPos val="high"/>
        <c:crossAx val="152969216"/>
        <c:crosses val="max"/>
        <c:crossBetween val="midCat"/>
      </c:valAx>
      <c:valAx>
        <c:axId val="152969216"/>
        <c:scaling>
          <c:orientation val="maxMin"/>
          <c:max val="700"/>
          <c:min val="-7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Longitudinal distance from driver door striker (mm)</a:t>
                </a:r>
              </a:p>
            </c:rich>
          </c:tx>
          <c:layout>
            <c:manualLayout>
              <c:xMode val="edge"/>
              <c:yMode val="edge"/>
              <c:x val="1.7006283285340647E-2"/>
              <c:y val="0.21141384138347263"/>
            </c:manualLayout>
          </c:layout>
        </c:title>
        <c:numFmt formatCode="General" sourceLinked="1"/>
        <c:tickLblPos val="nextTo"/>
        <c:crossAx val="152950272"/>
        <c:crosses val="autoZero"/>
        <c:crossBetween val="midCat"/>
      </c:valAx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715524511837302"/>
          <c:y val="0.20173623824092296"/>
          <c:w val="0.2398594052107744"/>
          <c:h val="0.62830747338494963"/>
        </c:manualLayout>
      </c:layout>
      <c:spPr>
        <a:noFill/>
        <a:ln>
          <a:solidFill>
            <a:schemeClr val="bg1">
              <a:lumMod val="50000"/>
            </a:schemeClr>
          </a:solidFill>
        </a:ln>
      </c:spPr>
    </c:legend>
    <c:dispBlanksAs val="gap"/>
  </c:chart>
  <c:spPr>
    <a:ln w="19050">
      <a:solidFill>
        <a:schemeClr val="bg1">
          <a:lumMod val="50000"/>
        </a:schemeClr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Seat back deflection at time of maximum dummy excursion</a:t>
            </a:r>
          </a:p>
        </c:rich>
      </c:tx>
      <c:layout>
        <c:manualLayout>
          <c:xMode val="edge"/>
          <c:yMode val="edge"/>
          <c:x val="0.21269939961356321"/>
          <c:y val="1.3413813397167615E-2"/>
        </c:manualLayout>
      </c:layout>
      <c:overlay val="1"/>
    </c:title>
    <c:plotArea>
      <c:layout>
        <c:manualLayout>
          <c:layoutTarget val="inner"/>
          <c:xMode val="edge"/>
          <c:yMode val="edge"/>
          <c:x val="3.6523892810094646E-2"/>
          <c:y val="7.4568972983523718E-2"/>
          <c:w val="0.68291090688419265"/>
          <c:h val="0.85265739261661522"/>
        </c:manualLayout>
      </c:layout>
      <c:scatterChart>
        <c:scatterStyle val="lineMarker"/>
        <c:ser>
          <c:idx val="0"/>
          <c:order val="0"/>
          <c:tx>
            <c:v>Seatback hinge point</c:v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19050">
                <a:solidFill>
                  <a:schemeClr val="accent2"/>
                </a:solidFill>
              </a:ln>
            </c:spPr>
          </c:marker>
          <c:xVal>
            <c:numRef>
              <c:f>'Calculations &amp; sample data'!$C$28</c:f>
              <c:numCache>
                <c:formatCode>0</c:formatCode>
                <c:ptCount val="1"/>
                <c:pt idx="0">
                  <c:v>-17.288943559120263</c:v>
                </c:pt>
              </c:numCache>
            </c:numRef>
          </c:xVal>
          <c:yVal>
            <c:numRef>
              <c:f>'Calculations &amp; sample data'!$E$28</c:f>
              <c:numCache>
                <c:formatCode>0</c:formatCode>
                <c:ptCount val="1"/>
                <c:pt idx="0">
                  <c:v>-280.25171791861254</c:v>
                </c:pt>
              </c:numCache>
            </c:numRef>
          </c:yVal>
        </c:ser>
        <c:ser>
          <c:idx val="1"/>
          <c:order val="1"/>
          <c:tx>
            <c:v>Center pot at seat, pretest</c:v>
          </c:tx>
          <c:spPr>
            <a:ln w="28575">
              <a:noFill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xVal>
            <c:numRef>
              <c:f>'Calculations &amp; sample data'!$C$33</c:f>
              <c:numCache>
                <c:formatCode>0</c:formatCode>
                <c:ptCount val="1"/>
                <c:pt idx="0">
                  <c:v>189.32800245790878</c:v>
                </c:pt>
              </c:numCache>
            </c:numRef>
          </c:xVal>
          <c:yVal>
            <c:numRef>
              <c:f>'Calculations &amp; sample data'!$E$33</c:f>
              <c:numCache>
                <c:formatCode>0</c:formatCode>
                <c:ptCount val="1"/>
                <c:pt idx="0">
                  <c:v>280.48416674292918</c:v>
                </c:pt>
              </c:numCache>
            </c:numRef>
          </c:yVal>
        </c:ser>
        <c:ser>
          <c:idx val="3"/>
          <c:order val="2"/>
          <c:tx>
            <c:v>Inboard pot at seat, pretest</c:v>
          </c:tx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'Calculations &amp; sample data'!$C$35</c:f>
              <c:numCache>
                <c:formatCode>0</c:formatCode>
                <c:ptCount val="1"/>
                <c:pt idx="0">
                  <c:v>171.98593613082994</c:v>
                </c:pt>
              </c:numCache>
            </c:numRef>
          </c:xVal>
          <c:yVal>
            <c:numRef>
              <c:f>'Calculations &amp; sample data'!$E$35</c:f>
              <c:numCache>
                <c:formatCode>0</c:formatCode>
                <c:ptCount val="1"/>
                <c:pt idx="0">
                  <c:v>259.39821511446405</c:v>
                </c:pt>
              </c:numCache>
            </c:numRef>
          </c:yVal>
        </c:ser>
        <c:ser>
          <c:idx val="9"/>
          <c:order val="3"/>
          <c:tx>
            <c:v>Center pot at seat, deflected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accent3"/>
                </a:solidFill>
              </a:ln>
            </c:spPr>
          </c:marker>
          <c:xVal>
            <c:numRef>
              <c:f>'Calculations &amp; sample data'!$C$46</c:f>
              <c:numCache>
                <c:formatCode>0</c:formatCode>
                <c:ptCount val="1"/>
                <c:pt idx="0">
                  <c:v>153.42808098775816</c:v>
                </c:pt>
              </c:numCache>
            </c:numRef>
          </c:xVal>
          <c:yVal>
            <c:numRef>
              <c:f>'Calculations &amp; sample data'!$E$46</c:f>
              <c:numCache>
                <c:formatCode>0</c:formatCode>
                <c:ptCount val="1"/>
                <c:pt idx="0">
                  <c:v>292.43579919558675</c:v>
                </c:pt>
              </c:numCache>
            </c:numRef>
          </c:yVal>
        </c:ser>
        <c:ser>
          <c:idx val="8"/>
          <c:order val="4"/>
          <c:tx>
            <c:v>Inboard pot at seat, deflected</c:v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>
                <a:solidFill>
                  <a:schemeClr val="tx2"/>
                </a:solidFill>
              </a:ln>
            </c:spPr>
          </c:marker>
          <c:xVal>
            <c:numRef>
              <c:f>'Calculations &amp; sample data'!$C$56</c:f>
              <c:numCache>
                <c:formatCode>0</c:formatCode>
                <c:ptCount val="1"/>
                <c:pt idx="0">
                  <c:v>140.79138020345914</c:v>
                </c:pt>
              </c:numCache>
            </c:numRef>
          </c:xVal>
          <c:yVal>
            <c:numRef>
              <c:f>'Calculations &amp; sample data'!$E$56</c:f>
              <c:numCache>
                <c:formatCode>0</c:formatCode>
                <c:ptCount val="1"/>
                <c:pt idx="0">
                  <c:v>269.34599090427497</c:v>
                </c:pt>
              </c:numCache>
            </c:numRef>
          </c:yVal>
        </c:ser>
        <c:ser>
          <c:idx val="2"/>
          <c:order val="5"/>
          <c:tx>
            <c:v>Center pot housing</c:v>
          </c:tx>
          <c:spPr>
            <a:ln w="28575">
              <a:noFill/>
            </a:ln>
          </c:spPr>
          <c:xVal>
            <c:numRef>
              <c:f>'Calculations &amp; sample data'!$C$34</c:f>
              <c:numCache>
                <c:formatCode>0</c:formatCode>
                <c:ptCount val="1"/>
                <c:pt idx="0">
                  <c:v>1193.7560394201387</c:v>
                </c:pt>
              </c:numCache>
            </c:numRef>
          </c:xVal>
          <c:yVal>
            <c:numRef>
              <c:f>'Calculations &amp; sample data'!$E$34</c:f>
              <c:numCache>
                <c:formatCode>0</c:formatCode>
                <c:ptCount val="1"/>
                <c:pt idx="0">
                  <c:v>268.70845968308646</c:v>
                </c:pt>
              </c:numCache>
            </c:numRef>
          </c:yVal>
        </c:ser>
        <c:ser>
          <c:idx val="4"/>
          <c:order val="6"/>
          <c:tx>
            <c:v>Inboard pot housing</c:v>
          </c:tx>
          <c:spPr>
            <a:ln w="28575">
              <a:noFill/>
            </a:ln>
          </c:spPr>
          <c:xVal>
            <c:numRef>
              <c:f>'Calculations &amp; sample data'!$C$36</c:f>
              <c:numCache>
                <c:formatCode>0</c:formatCode>
                <c:ptCount val="1"/>
                <c:pt idx="0">
                  <c:v>1193.1547675280976</c:v>
                </c:pt>
              </c:numCache>
            </c:numRef>
          </c:xVal>
          <c:yVal>
            <c:numRef>
              <c:f>'Calculations &amp; sample data'!$E$36</c:f>
              <c:numCache>
                <c:formatCode>0</c:formatCode>
                <c:ptCount val="1"/>
                <c:pt idx="0">
                  <c:v>266.31809777988104</c:v>
                </c:pt>
              </c:numCache>
            </c:numRef>
          </c:yVal>
        </c:ser>
        <c:axId val="153051904"/>
        <c:axId val="153053824"/>
      </c:scatterChart>
      <c:scatterChart>
        <c:scatterStyle val="smoothMarker"/>
        <c:ser>
          <c:idx val="5"/>
          <c:order val="7"/>
          <c:tx>
            <c:v>Path of seat rotation at center pot</c:v>
          </c:tx>
          <c:spPr>
            <a:ln w="15875">
              <a:solidFill>
                <a:schemeClr val="accent3"/>
              </a:solidFill>
            </a:ln>
          </c:spPr>
          <c:marker>
            <c:symbol val="none"/>
          </c:marker>
          <c:xVal>
            <c:numRef>
              <c:f>'Calculations &amp; sample data'!$N$109:$N$119</c:f>
              <c:numCache>
                <c:formatCode>General</c:formatCode>
                <c:ptCount val="11"/>
                <c:pt idx="0" formatCode="0">
                  <c:v>-17.288943559120263</c:v>
                </c:pt>
                <c:pt idx="1">
                  <c:v>76.194922985591575</c:v>
                </c:pt>
                <c:pt idx="2">
                  <c:v>167.37690648080721</c:v>
                </c:pt>
                <c:pt idx="3">
                  <c:v>254.01180387722096</c:v>
                </c:pt>
                <c:pt idx="4">
                  <c:v>333.96637647619315</c:v>
                </c:pt>
                <c:pt idx="5">
                  <c:v>405.27187734632395</c:v>
                </c:pt>
                <c:pt idx="6">
                  <c:v>466.17252840680112</c:v>
                </c:pt>
                <c:pt idx="7">
                  <c:v>515.16875351084252</c:v>
                </c:pt>
                <c:pt idx="8">
                  <c:v>551.05410298723871</c:v>
                </c:pt>
                <c:pt idx="9">
                  <c:v>572.94496043523372</c:v>
                </c:pt>
                <c:pt idx="10">
                  <c:v>580.30230029286736</c:v>
                </c:pt>
              </c:numCache>
            </c:numRef>
          </c:xVal>
          <c:yVal>
            <c:numRef>
              <c:f>'Calculations &amp; sample data'!$O$109:$O$119</c:f>
              <c:numCache>
                <c:formatCode>0</c:formatCode>
                <c:ptCount val="11"/>
                <c:pt idx="0">
                  <c:v>317.33952593337511</c:v>
                </c:pt>
                <c:pt idx="1">
                  <c:v>309.98218607574148</c:v>
                </c:pt>
                <c:pt idx="2">
                  <c:v>288.09132862774646</c:v>
                </c:pt>
                <c:pt idx="3">
                  <c:v>252.20597915135028</c:v>
                </c:pt>
                <c:pt idx="4">
                  <c:v>203.20975404730876</c:v>
                </c:pt>
                <c:pt idx="5">
                  <c:v>142.3091029868317</c:v>
                </c:pt>
                <c:pt idx="6">
                  <c:v>71.003602116700847</c:v>
                </c:pt>
                <c:pt idx="7">
                  <c:v>-8.9509704822711456</c:v>
                </c:pt>
                <c:pt idx="8">
                  <c:v>-95.585867878685121</c:v>
                </c:pt>
                <c:pt idx="9">
                  <c:v>-186.76785137390084</c:v>
                </c:pt>
                <c:pt idx="10">
                  <c:v>-280.25171791861254</c:v>
                </c:pt>
              </c:numCache>
            </c:numRef>
          </c:yVal>
          <c:smooth val="1"/>
        </c:ser>
        <c:ser>
          <c:idx val="10"/>
          <c:order val="8"/>
          <c:tx>
            <c:v>Path of seat rotation at inboard pot</c:v>
          </c:tx>
          <c:spPr>
            <a:ln w="158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'Calculations &amp; sample data'!$P$109:$P$119</c:f>
              <c:numCache>
                <c:formatCode>0</c:formatCode>
                <c:ptCount val="11"/>
                <c:pt idx="0">
                  <c:v>-17.288943559120263</c:v>
                </c:pt>
                <c:pt idx="1">
                  <c:v>72.172838779525449</c:v>
                </c:pt>
                <c:pt idx="2">
                  <c:v>159.43177513036048</c:v>
                </c:pt>
                <c:pt idx="3">
                  <c:v>242.33926088462076</c:v>
                </c:pt>
                <c:pt idx="4">
                  <c:v>318.85383858886661</c:v>
                </c:pt>
                <c:pt idx="5">
                  <c:v>387.09146540269461</c:v>
                </c:pt>
                <c:pt idx="6">
                  <c:v>445.37190448624915</c:v>
                </c:pt>
                <c:pt idx="7">
                  <c:v>492.260098007605</c:v>
                </c:pt>
                <c:pt idx="8">
                  <c:v>526.60150302927377</c:v>
                </c:pt>
                <c:pt idx="9">
                  <c:v>547.55052018703304</c:v>
                </c:pt>
                <c:pt idx="10">
                  <c:v>554.59131515265699</c:v>
                </c:pt>
              </c:numCache>
            </c:numRef>
          </c:xVal>
          <c:yVal>
            <c:numRef>
              <c:f>'Calculations &amp; sample data'!$Q$109:$Q$119</c:f>
              <c:numCache>
                <c:formatCode>0</c:formatCode>
                <c:ptCount val="11"/>
                <c:pt idx="0">
                  <c:v>291.62854079316475</c:v>
                </c:pt>
                <c:pt idx="1">
                  <c:v>284.5877458275408</c:v>
                </c:pt>
                <c:pt idx="2">
                  <c:v>263.63872866978153</c:v>
                </c:pt>
                <c:pt idx="3">
                  <c:v>229.29732364811275</c:v>
                </c:pt>
                <c:pt idx="4">
                  <c:v>182.40913012675685</c:v>
                </c:pt>
                <c:pt idx="5">
                  <c:v>124.12869104320237</c:v>
                </c:pt>
                <c:pt idx="6">
                  <c:v>55.891064229374251</c:v>
                </c:pt>
                <c:pt idx="7">
                  <c:v>-20.623513474871459</c:v>
                </c:pt>
                <c:pt idx="8">
                  <c:v>-103.53099922913191</c:v>
                </c:pt>
                <c:pt idx="9">
                  <c:v>-190.78993557996657</c:v>
                </c:pt>
                <c:pt idx="10">
                  <c:v>-280.25171791861254</c:v>
                </c:pt>
              </c:numCache>
            </c:numRef>
          </c:yVal>
          <c:smooth val="1"/>
        </c:ser>
        <c:ser>
          <c:idx val="6"/>
          <c:order val="9"/>
          <c:tx>
            <c:v>Circumference of center pot with pull-out</c:v>
          </c:tx>
          <c:spPr>
            <a:ln w="15875">
              <a:solidFill>
                <a:schemeClr val="accent3"/>
              </a:solidFill>
              <a:prstDash val="sysDash"/>
            </a:ln>
          </c:spPr>
          <c:marker>
            <c:symbol val="none"/>
          </c:marker>
          <c:xVal>
            <c:numRef>
              <c:f>'Calculations &amp; sample data'!$R$109:$R$124</c:f>
              <c:numCache>
                <c:formatCode>0</c:formatCode>
                <c:ptCount val="16"/>
                <c:pt idx="0">
                  <c:v>1193.7560394201387</c:v>
                </c:pt>
                <c:pt idx="1">
                  <c:v>634.9273315558421</c:v>
                </c:pt>
                <c:pt idx="2">
                  <c:v>441.53755544247269</c:v>
                </c:pt>
                <c:pt idx="3">
                  <c:v>321.96448175286889</c:v>
                </c:pt>
                <c:pt idx="4">
                  <c:v>245.68056651987331</c:v>
                </c:pt>
                <c:pt idx="5">
                  <c:v>198.79281827480656</c:v>
                </c:pt>
                <c:pt idx="6">
                  <c:v>172.31147430107546</c:v>
                </c:pt>
                <c:pt idx="7">
                  <c:v>159.35693684724515</c:v>
                </c:pt>
                <c:pt idx="8">
                  <c:v>154.40464057503982</c:v>
                </c:pt>
                <c:pt idx="9">
                  <c:v>153.23640320535469</c:v>
                </c:pt>
                <c:pt idx="10">
                  <c:v>153.15753483903632</c:v>
                </c:pt>
                <c:pt idx="11">
                  <c:v>153.23640320535469</c:v>
                </c:pt>
                <c:pt idx="12">
                  <c:v>154.40464057503982</c:v>
                </c:pt>
                <c:pt idx="13">
                  <c:v>159.35693684724515</c:v>
                </c:pt>
                <c:pt idx="14">
                  <c:v>172.31147430107558</c:v>
                </c:pt>
                <c:pt idx="15">
                  <c:v>198.79281827480656</c:v>
                </c:pt>
              </c:numCache>
            </c:numRef>
          </c:xVal>
          <c:yVal>
            <c:numRef>
              <c:f>'Calculations &amp; sample data'!$S$109:$S$124</c:f>
              <c:numCache>
                <c:formatCode>0</c:formatCode>
                <c:ptCount val="16"/>
                <c:pt idx="0">
                  <c:v>1309.3069642641888</c:v>
                </c:pt>
                <c:pt idx="1">
                  <c:v>1146.5214938783797</c:v>
                </c:pt>
                <c:pt idx="2">
                  <c:v>987.74434202747159</c:v>
                </c:pt>
                <c:pt idx="3">
                  <c:v>836.88512914118905</c:v>
                </c:pt>
                <c:pt idx="4">
                  <c:v>697.65850971381519</c:v>
                </c:pt>
                <c:pt idx="5">
                  <c:v>573.49270518231071</c:v>
                </c:pt>
                <c:pt idx="6">
                  <c:v>467.44508973692029</c:v>
                </c:pt>
                <c:pt idx="7">
                  <c:v>382.12690762176749</c:v>
                </c:pt>
                <c:pt idx="8">
                  <c:v>319.63897563533919</c:v>
                </c:pt>
                <c:pt idx="9">
                  <c:v>281.51995404869785</c:v>
                </c:pt>
                <c:pt idx="10">
                  <c:v>268.7084596830864</c:v>
                </c:pt>
                <c:pt idx="11">
                  <c:v>255.89696531747489</c:v>
                </c:pt>
                <c:pt idx="12">
                  <c:v>217.77794373083373</c:v>
                </c:pt>
                <c:pt idx="13">
                  <c:v>155.29001174440549</c:v>
                </c:pt>
                <c:pt idx="14">
                  <c:v>69.971829629252454</c:v>
                </c:pt>
                <c:pt idx="15">
                  <c:v>-36.075785816137795</c:v>
                </c:pt>
              </c:numCache>
            </c:numRef>
          </c:yVal>
          <c:smooth val="1"/>
        </c:ser>
        <c:ser>
          <c:idx val="7"/>
          <c:order val="10"/>
          <c:tx>
            <c:v>Circumference of inboard pot with pull-out</c:v>
          </c:tx>
          <c:spPr>
            <a:ln w="15875"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'Calculations &amp; sample data'!$T$109:$T$124</c:f>
              <c:numCache>
                <c:formatCode>0</c:formatCode>
                <c:ptCount val="16"/>
                <c:pt idx="0">
                  <c:v>1193.1547675280976</c:v>
                </c:pt>
                <c:pt idx="1">
                  <c:v>628.00566958874617</c:v>
                </c:pt>
                <c:pt idx="2">
                  <c:v>432.4286421685581</c:v>
                </c:pt>
                <c:pt idx="3">
                  <c:v>311.50318901534388</c:v>
                </c:pt>
                <c:pt idx="4">
                  <c:v>234.35649759719558</c:v>
                </c:pt>
                <c:pt idx="5">
                  <c:v>186.93844578239555</c:v>
                </c:pt>
                <c:pt idx="6">
                  <c:v>160.15759603655533</c:v>
                </c:pt>
                <c:pt idx="7">
                  <c:v>147.05654189738334</c:v>
                </c:pt>
                <c:pt idx="8">
                  <c:v>142.0482348229998</c:v>
                </c:pt>
                <c:pt idx="9">
                  <c:v>140.8667846105011</c:v>
                </c:pt>
                <c:pt idx="10">
                  <c:v>140.787024237683</c:v>
                </c:pt>
                <c:pt idx="11">
                  <c:v>140.8667846105011</c:v>
                </c:pt>
                <c:pt idx="12">
                  <c:v>142.0482348229998</c:v>
                </c:pt>
                <c:pt idx="13">
                  <c:v>147.05654189738334</c:v>
                </c:pt>
                <c:pt idx="14">
                  <c:v>160.15759603655533</c:v>
                </c:pt>
                <c:pt idx="15">
                  <c:v>186.93844578239555</c:v>
                </c:pt>
              </c:numCache>
            </c:numRef>
          </c:xVal>
          <c:yVal>
            <c:numRef>
              <c:f>'Calculations &amp; sample data'!$U$109:$U$124</c:f>
              <c:numCache>
                <c:formatCode>0</c:formatCode>
                <c:ptCount val="16"/>
                <c:pt idx="0">
                  <c:v>1318.6858410702957</c:v>
                </c:pt>
                <c:pt idx="1">
                  <c:v>1154.0592561230646</c:v>
                </c:pt>
                <c:pt idx="2">
                  <c:v>993.48632406154559</c:v>
                </c:pt>
                <c:pt idx="3">
                  <c:v>840.92088338410133</c:v>
                </c:pt>
                <c:pt idx="4">
                  <c:v>700.11960157587873</c:v>
                </c:pt>
                <c:pt idx="5">
                  <c:v>574.54947348765972</c:v>
                </c:pt>
                <c:pt idx="6">
                  <c:v>467.30245241633827</c:v>
                </c:pt>
                <c:pt idx="7">
                  <c:v>381.01931595314693</c:v>
                </c:pt>
                <c:pt idx="8">
                  <c:v>317.82464127512151</c:v>
                </c:pt>
                <c:pt idx="9">
                  <c:v>279.27449100393619</c:v>
                </c:pt>
                <c:pt idx="10">
                  <c:v>266.3180977798811</c:v>
                </c:pt>
                <c:pt idx="11">
                  <c:v>253.36170455582604</c:v>
                </c:pt>
                <c:pt idx="12">
                  <c:v>214.81155428464075</c:v>
                </c:pt>
                <c:pt idx="13">
                  <c:v>151.61687960661544</c:v>
                </c:pt>
                <c:pt idx="14">
                  <c:v>65.333743143423987</c:v>
                </c:pt>
                <c:pt idx="15">
                  <c:v>-41.913277927897468</c:v>
                </c:pt>
              </c:numCache>
            </c:numRef>
          </c:yVal>
          <c:smooth val="1"/>
        </c:ser>
        <c:axId val="153051904"/>
        <c:axId val="153053824"/>
      </c:scatterChart>
      <c:valAx>
        <c:axId val="153051904"/>
        <c:scaling>
          <c:orientation val="minMax"/>
          <c:max val="1400"/>
          <c:min val="-20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Horizontal distance from driver door striker (mm)</a:t>
                </a:r>
              </a:p>
            </c:rich>
          </c:tx>
          <c:layout>
            <c:manualLayout>
              <c:xMode val="edge"/>
              <c:yMode val="edge"/>
              <c:x val="0.27453045222627176"/>
              <c:y val="0.94230923623234875"/>
            </c:manualLayout>
          </c:layout>
        </c:title>
        <c:numFmt formatCode="0" sourceLinked="1"/>
        <c:tickLblPos val="nextTo"/>
        <c:crossAx val="153053824"/>
        <c:crosses val="autoZero"/>
        <c:crossBetween val="midCat"/>
        <c:majorUnit val="100"/>
      </c:valAx>
      <c:valAx>
        <c:axId val="153053824"/>
        <c:scaling>
          <c:orientation val="minMax"/>
          <c:max val="400"/>
          <c:min val="-4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Vertical distance from driver door striker (mm)</a:t>
                </a:r>
              </a:p>
            </c:rich>
          </c:tx>
          <c:layout>
            <c:manualLayout>
              <c:xMode val="edge"/>
              <c:yMode val="edge"/>
              <c:x val="1.0370004604157821E-2"/>
              <c:y val="0.14713744492345696"/>
            </c:manualLayout>
          </c:layout>
        </c:title>
        <c:numFmt formatCode="0" sourceLinked="1"/>
        <c:tickLblPos val="nextTo"/>
        <c:crossAx val="153051904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738558650119152"/>
          <c:y val="3.0552368736713399E-2"/>
          <c:w val="0.25088604301213446"/>
          <c:h val="0.89967933872519446"/>
        </c:manualLayout>
      </c:layout>
      <c:spPr>
        <a:ln>
          <a:solidFill>
            <a:schemeClr val="bg1">
              <a:lumMod val="50000"/>
            </a:schemeClr>
          </a:solidFill>
        </a:ln>
      </c:spPr>
    </c:legend>
    <c:dispBlanksAs val="gap"/>
  </c:chart>
  <c:spPr>
    <a:ln w="19050">
      <a:solidFill>
        <a:schemeClr val="bg1">
          <a:lumMod val="50000"/>
        </a:schemeClr>
      </a:solidFill>
    </a:ln>
  </c:spPr>
  <c:txPr>
    <a:bodyPr/>
    <a:lstStyle/>
    <a:p>
      <a:pPr>
        <a:defRPr sz="1050"/>
      </a:pPr>
      <a:endParaRPr lang="en-US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146796</xdr:colOff>
      <xdr:row>90</xdr:row>
      <xdr:rowOff>76200</xdr:rowOff>
    </xdr:from>
    <xdr:to>
      <xdr:col>7</xdr:col>
      <xdr:colOff>1047750</xdr:colOff>
      <xdr:row>121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260675</xdr:colOff>
      <xdr:row>29</xdr:row>
      <xdr:rowOff>190499</xdr:rowOff>
    </xdr:from>
    <xdr:to>
      <xdr:col>25</xdr:col>
      <xdr:colOff>346401</xdr:colOff>
      <xdr:row>87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260675</xdr:colOff>
      <xdr:row>3</xdr:row>
      <xdr:rowOff>169768</xdr:rowOff>
    </xdr:from>
    <xdr:to>
      <xdr:col>15</xdr:col>
      <xdr:colOff>19050</xdr:colOff>
      <xdr:row>28</xdr:row>
      <xdr:rowOff>76200</xdr:rowOff>
    </xdr:to>
    <xdr:grpSp>
      <xdr:nvGrpSpPr>
        <xdr:cNvPr id="4" name="Group 3"/>
        <xdr:cNvGrpSpPr/>
      </xdr:nvGrpSpPr>
      <xdr:grpSpPr>
        <a:xfrm>
          <a:off x="9471350" y="741268"/>
          <a:ext cx="4482775" cy="3468782"/>
          <a:chOff x="8602264" y="352425"/>
          <a:chExt cx="5351861" cy="3806727"/>
        </a:xfrm>
      </xdr:grpSpPr>
      <xdr:pic>
        <xdr:nvPicPr>
          <xdr:cNvPr id="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8602264" y="352425"/>
            <a:ext cx="5351861" cy="3806727"/>
          </a:xfrm>
          <a:prstGeom prst="rect">
            <a:avLst/>
          </a:prstGeom>
          <a:noFill/>
          <a:ln w="3175">
            <a:solidFill>
              <a:schemeClr val="tx1"/>
            </a:solidFill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6" name="TextBox 5"/>
          <xdr:cNvSpPr txBox="1"/>
        </xdr:nvSpPr>
        <xdr:spPr>
          <a:xfrm>
            <a:off x="10599493" y="1542959"/>
            <a:ext cx="706529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Point 1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9757992" y="2851671"/>
            <a:ext cx="785813" cy="30625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Point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8802776" y="3546639"/>
            <a:ext cx="1779068" cy="3390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Calculated hinge</a:t>
            </a:r>
            <a:r>
              <a:rPr lang="en-US" sz="1100" baseline="0"/>
              <a:t> point</a:t>
            </a:r>
            <a:endParaRPr lang="en-US" sz="1100"/>
          </a:p>
        </xdr:txBody>
      </xdr:sp>
    </xdr:grpSp>
    <xdr:clientData/>
  </xdr:twoCellAnchor>
  <xdr:twoCellAnchor>
    <xdr:from>
      <xdr:col>1</xdr:col>
      <xdr:colOff>228600</xdr:colOff>
      <xdr:row>0</xdr:row>
      <xdr:rowOff>133350</xdr:rowOff>
    </xdr:from>
    <xdr:to>
      <xdr:col>4</xdr:col>
      <xdr:colOff>723900</xdr:colOff>
      <xdr:row>8</xdr:row>
      <xdr:rowOff>47625</xdr:rowOff>
    </xdr:to>
    <xdr:sp macro="" textlink="">
      <xdr:nvSpPr>
        <xdr:cNvPr id="9" name="TextBox 8"/>
        <xdr:cNvSpPr txBox="1"/>
      </xdr:nvSpPr>
      <xdr:spPr>
        <a:xfrm>
          <a:off x="228600" y="133350"/>
          <a:ext cx="6686550" cy="1438275"/>
        </a:xfrm>
        <a:prstGeom prst="rect">
          <a:avLst/>
        </a:prstGeom>
        <a:solidFill>
          <a:schemeClr val="lt1"/>
        </a:solidFill>
        <a:ln w="19050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All</a:t>
          </a:r>
          <a:r>
            <a:rPr lang="en-US" sz="1400" baseline="0"/>
            <a:t> points and measurements are in mm, except where indicated.  The seating procedure coordinate system is used with the driver door striker as the origin.</a:t>
          </a:r>
        </a:p>
        <a:p>
          <a:endParaRPr lang="en-US" sz="1400" baseline="0"/>
        </a:p>
        <a:p>
          <a:r>
            <a:rPr lang="en-US" sz="1400" baseline="0"/>
            <a:t>Cells in blue are input from CMM measurements or reading pot/tape pull-out.  Cells in gray are calculated.  Titles highlighted in yellow are the main outputs for each set of calculations.</a:t>
          </a:r>
          <a:endParaRPr lang="en-US" sz="1400"/>
        </a:p>
      </xdr:txBody>
    </xdr:sp>
    <xdr:clientData/>
  </xdr:twoCellAnchor>
  <xdr:twoCellAnchor>
    <xdr:from>
      <xdr:col>6</xdr:col>
      <xdr:colOff>0</xdr:colOff>
      <xdr:row>11</xdr:row>
      <xdr:rowOff>76200</xdr:rowOff>
    </xdr:from>
    <xdr:to>
      <xdr:col>8</xdr:col>
      <xdr:colOff>238124</xdr:colOff>
      <xdr:row>28</xdr:row>
      <xdr:rowOff>47625</xdr:rowOff>
    </xdr:to>
    <xdr:sp macro="" textlink="">
      <xdr:nvSpPr>
        <xdr:cNvPr id="12" name="Right Arrow 11"/>
        <xdr:cNvSpPr/>
      </xdr:nvSpPr>
      <xdr:spPr>
        <a:xfrm>
          <a:off x="7486650" y="2228850"/>
          <a:ext cx="1962149" cy="1571625"/>
        </a:xfrm>
        <a:prstGeom prst="rightArrow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4633910</xdr:colOff>
      <xdr:row>85</xdr:row>
      <xdr:rowOff>0</xdr:rowOff>
    </xdr:from>
    <xdr:to>
      <xdr:col>4</xdr:col>
      <xdr:colOff>14285</xdr:colOff>
      <xdr:row>92</xdr:row>
      <xdr:rowOff>57152</xdr:rowOff>
    </xdr:to>
    <xdr:sp macro="" textlink="">
      <xdr:nvSpPr>
        <xdr:cNvPr id="13" name="Right Arrow 12"/>
        <xdr:cNvSpPr/>
      </xdr:nvSpPr>
      <xdr:spPr>
        <a:xfrm rot="5400000">
          <a:off x="4933947" y="8415338"/>
          <a:ext cx="1390652" cy="1571625"/>
        </a:xfrm>
        <a:prstGeom prst="rightArrow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31</xdr:row>
      <xdr:rowOff>19050</xdr:rowOff>
    </xdr:from>
    <xdr:to>
      <xdr:col>8</xdr:col>
      <xdr:colOff>238124</xdr:colOff>
      <xdr:row>47</xdr:row>
      <xdr:rowOff>152400</xdr:rowOff>
    </xdr:to>
    <xdr:sp macro="" textlink="">
      <xdr:nvSpPr>
        <xdr:cNvPr id="14" name="Right Arrow 13"/>
        <xdr:cNvSpPr/>
      </xdr:nvSpPr>
      <xdr:spPr>
        <a:xfrm>
          <a:off x="7486650" y="4410075"/>
          <a:ext cx="1962149" cy="1571625"/>
        </a:xfrm>
        <a:prstGeom prst="rightArrow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257175</xdr:colOff>
      <xdr:row>58</xdr:row>
      <xdr:rowOff>115981</xdr:rowOff>
    </xdr:from>
    <xdr:to>
      <xdr:col>21</xdr:col>
      <xdr:colOff>510429</xdr:colOff>
      <xdr:row>88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251150</xdr:colOff>
      <xdr:row>31</xdr:row>
      <xdr:rowOff>228599</xdr:rowOff>
    </xdr:from>
    <xdr:to>
      <xdr:col>25</xdr:col>
      <xdr:colOff>336876</xdr:colOff>
      <xdr:row>55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260675</xdr:colOff>
      <xdr:row>11</xdr:row>
      <xdr:rowOff>17368</xdr:rowOff>
    </xdr:from>
    <xdr:to>
      <xdr:col>15</xdr:col>
      <xdr:colOff>19050</xdr:colOff>
      <xdr:row>26</xdr:row>
      <xdr:rowOff>133350</xdr:rowOff>
    </xdr:to>
    <xdr:grpSp>
      <xdr:nvGrpSpPr>
        <xdr:cNvPr id="4" name="Group 3"/>
        <xdr:cNvGrpSpPr/>
      </xdr:nvGrpSpPr>
      <xdr:grpSpPr>
        <a:xfrm>
          <a:off x="9471350" y="2170018"/>
          <a:ext cx="4482775" cy="3087782"/>
          <a:chOff x="8602264" y="352425"/>
          <a:chExt cx="5351861" cy="3806727"/>
        </a:xfrm>
      </xdr:grpSpPr>
      <xdr:pic>
        <xdr:nvPicPr>
          <xdr:cNvPr id="5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8602264" y="352425"/>
            <a:ext cx="5351861" cy="3806727"/>
          </a:xfrm>
          <a:prstGeom prst="rect">
            <a:avLst/>
          </a:prstGeom>
          <a:noFill/>
          <a:ln w="3175">
            <a:solidFill>
              <a:schemeClr val="tx1"/>
            </a:solidFill>
            <a:miter lim="800000"/>
            <a:headEnd/>
            <a:tailEnd type="none" w="med" len="med"/>
          </a:ln>
          <a:effectLst/>
        </xdr:spPr>
      </xdr:pic>
      <xdr:sp macro="" textlink="">
        <xdr:nvSpPr>
          <xdr:cNvPr id="6" name="TextBox 5"/>
          <xdr:cNvSpPr txBox="1"/>
        </xdr:nvSpPr>
        <xdr:spPr>
          <a:xfrm>
            <a:off x="10599493" y="1542959"/>
            <a:ext cx="706529" cy="3048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Point 1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9757992" y="2851671"/>
            <a:ext cx="785813" cy="30625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Point 2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8802776" y="3546639"/>
            <a:ext cx="1779068" cy="33906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Calculated hinge</a:t>
            </a:r>
            <a:r>
              <a:rPr lang="en-US" sz="1100" baseline="0"/>
              <a:t> point</a:t>
            </a:r>
            <a:endParaRPr lang="en-US" sz="1100"/>
          </a:p>
        </xdr:txBody>
      </xdr:sp>
    </xdr:grpSp>
    <xdr:clientData/>
  </xdr:twoCellAnchor>
  <xdr:twoCellAnchor>
    <xdr:from>
      <xdr:col>1</xdr:col>
      <xdr:colOff>228600</xdr:colOff>
      <xdr:row>0</xdr:row>
      <xdr:rowOff>133350</xdr:rowOff>
    </xdr:from>
    <xdr:to>
      <xdr:col>4</xdr:col>
      <xdr:colOff>723900</xdr:colOff>
      <xdr:row>8</xdr:row>
      <xdr:rowOff>47625</xdr:rowOff>
    </xdr:to>
    <xdr:sp macro="" textlink="">
      <xdr:nvSpPr>
        <xdr:cNvPr id="9" name="TextBox 8"/>
        <xdr:cNvSpPr txBox="1"/>
      </xdr:nvSpPr>
      <xdr:spPr>
        <a:xfrm>
          <a:off x="438150" y="133350"/>
          <a:ext cx="6686550" cy="1438275"/>
        </a:xfrm>
        <a:prstGeom prst="rect">
          <a:avLst/>
        </a:prstGeom>
        <a:solidFill>
          <a:schemeClr val="lt1"/>
        </a:solidFill>
        <a:ln w="19050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All</a:t>
          </a:r>
          <a:r>
            <a:rPr lang="en-US" sz="1400" baseline="0"/>
            <a:t> points and measurements are in mm, except where indicated.  The seating procedure coordinate system is used with the driver door striker as the origin.</a:t>
          </a:r>
        </a:p>
        <a:p>
          <a:endParaRPr lang="en-US" sz="1400" baseline="0"/>
        </a:p>
        <a:p>
          <a:r>
            <a:rPr lang="en-US" sz="1400" baseline="0"/>
            <a:t>Cells in blue are input from CMM measurements or reading pot/tape pull-out.  Cells in gray are calculated.  Titles highlighted in yellow are the main outputs for each set of calculations.</a:t>
          </a:r>
          <a:endParaRPr lang="en-US" sz="1400"/>
        </a:p>
      </xdr:txBody>
    </xdr:sp>
    <xdr:clientData/>
  </xdr:twoCellAnchor>
  <xdr:twoCellAnchor>
    <xdr:from>
      <xdr:col>6</xdr:col>
      <xdr:colOff>0</xdr:colOff>
      <xdr:row>38</xdr:row>
      <xdr:rowOff>152400</xdr:rowOff>
    </xdr:from>
    <xdr:to>
      <xdr:col>8</xdr:col>
      <xdr:colOff>228599</xdr:colOff>
      <xdr:row>46</xdr:row>
      <xdr:rowOff>133350</xdr:rowOff>
    </xdr:to>
    <xdr:sp macro="" textlink="">
      <xdr:nvSpPr>
        <xdr:cNvPr id="12" name="Right Arrow 11"/>
        <xdr:cNvSpPr/>
      </xdr:nvSpPr>
      <xdr:spPr>
        <a:xfrm>
          <a:off x="7486650" y="7753350"/>
          <a:ext cx="1952624" cy="1571625"/>
        </a:xfrm>
        <a:prstGeom prst="rightArrow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14</xdr:row>
      <xdr:rowOff>190500</xdr:rowOff>
    </xdr:from>
    <xdr:to>
      <xdr:col>8</xdr:col>
      <xdr:colOff>238124</xdr:colOff>
      <xdr:row>22</xdr:row>
      <xdr:rowOff>171450</xdr:rowOff>
    </xdr:to>
    <xdr:sp macro="" textlink="">
      <xdr:nvSpPr>
        <xdr:cNvPr id="13" name="Right Arrow 12"/>
        <xdr:cNvSpPr/>
      </xdr:nvSpPr>
      <xdr:spPr>
        <a:xfrm>
          <a:off x="7486650" y="2943225"/>
          <a:ext cx="1962149" cy="1571625"/>
        </a:xfrm>
        <a:prstGeom prst="rightArrow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0</xdr:colOff>
      <xdr:row>68</xdr:row>
      <xdr:rowOff>57150</xdr:rowOff>
    </xdr:from>
    <xdr:to>
      <xdr:col>8</xdr:col>
      <xdr:colOff>228599</xdr:colOff>
      <xdr:row>76</xdr:row>
      <xdr:rowOff>28575</xdr:rowOff>
    </xdr:to>
    <xdr:sp macro="" textlink="">
      <xdr:nvSpPr>
        <xdr:cNvPr id="14" name="Right Arrow 13"/>
        <xdr:cNvSpPr/>
      </xdr:nvSpPr>
      <xdr:spPr>
        <a:xfrm>
          <a:off x="7486650" y="13706475"/>
          <a:ext cx="1952624" cy="1571625"/>
        </a:xfrm>
        <a:prstGeom prst="rightArrow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Z159"/>
  <sheetViews>
    <sheetView tabSelected="1" zoomScaleNormal="100" workbookViewId="0">
      <selection activeCell="G8" sqref="G8"/>
    </sheetView>
  </sheetViews>
  <sheetFormatPr defaultRowHeight="15"/>
  <cols>
    <col min="1" max="1" width="3.140625" customWidth="1"/>
    <col min="2" max="2" width="70" customWidth="1"/>
    <col min="3" max="5" width="11.42578125" customWidth="1"/>
    <col min="6" max="6" width="4.85546875" customWidth="1"/>
    <col min="8" max="8" width="16.7109375" bestFit="1" customWidth="1"/>
    <col min="11" max="11" width="12" customWidth="1"/>
    <col min="12" max="12" width="10.7109375" customWidth="1"/>
    <col min="13" max="13" width="11.42578125" customWidth="1"/>
    <col min="14" max="14" width="8.28515625" customWidth="1"/>
    <col min="15" max="15" width="10.140625" customWidth="1"/>
    <col min="16" max="16" width="10" customWidth="1"/>
    <col min="18" max="18" width="13.140625" customWidth="1"/>
    <col min="19" max="19" width="9.7109375" customWidth="1"/>
  </cols>
  <sheetData>
    <row r="1" spans="1:2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thickBo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8.75">
      <c r="A11" s="8"/>
      <c r="B11" s="39" t="s">
        <v>8</v>
      </c>
      <c r="C11" s="39"/>
      <c r="D11" s="39"/>
      <c r="E11" s="39"/>
      <c r="F11" s="9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>
      <c r="A12" s="10"/>
      <c r="B12" s="11"/>
      <c r="C12" s="12" t="s">
        <v>0</v>
      </c>
      <c r="D12" s="12" t="s">
        <v>1</v>
      </c>
      <c r="E12" s="12" t="s">
        <v>2</v>
      </c>
      <c r="F12" s="1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>
      <c r="A13" s="10"/>
      <c r="B13" s="14" t="s">
        <v>9</v>
      </c>
      <c r="C13" s="2"/>
      <c r="D13" s="2"/>
      <c r="E13" s="2"/>
      <c r="F13" s="13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>
      <c r="A14" s="10"/>
      <c r="B14" s="14" t="s">
        <v>10</v>
      </c>
      <c r="C14" s="2"/>
      <c r="D14" s="2"/>
      <c r="E14" s="2"/>
      <c r="F14" s="1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hidden="1">
      <c r="A15" s="10"/>
      <c r="B15" s="14" t="s">
        <v>3</v>
      </c>
      <c r="C15" s="5" t="e">
        <f>AVERAGE(C13:C14)</f>
        <v>#DIV/0!</v>
      </c>
      <c r="D15" s="11"/>
      <c r="E15" s="6" t="e">
        <f>AVERAGE(E13:E14)</f>
        <v>#DIV/0!</v>
      </c>
      <c r="F15" s="1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hidden="1">
      <c r="A16" s="10"/>
      <c r="B16" s="14" t="s">
        <v>4</v>
      </c>
      <c r="C16" s="6" t="e">
        <f>-1/((E14-E13)/(C14-C13))</f>
        <v>#DIV/0!</v>
      </c>
      <c r="D16" s="11"/>
      <c r="E16" s="11"/>
      <c r="F16" s="1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hidden="1">
      <c r="A17" s="10"/>
      <c r="B17" s="14" t="s">
        <v>5</v>
      </c>
      <c r="C17" s="6" t="e">
        <f>E15-C16*C15</f>
        <v>#DIV/0!</v>
      </c>
      <c r="D17" s="11"/>
      <c r="E17" s="11"/>
      <c r="F17" s="1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10"/>
      <c r="B18" s="11"/>
      <c r="C18" s="11"/>
      <c r="D18" s="11"/>
      <c r="E18" s="11"/>
      <c r="F18" s="1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>
      <c r="A19" s="10"/>
      <c r="B19" s="14" t="s">
        <v>11</v>
      </c>
      <c r="C19" s="2"/>
      <c r="D19" s="2"/>
      <c r="E19" s="2"/>
      <c r="F19" s="1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>
      <c r="A20" s="10"/>
      <c r="B20" s="14" t="s">
        <v>12</v>
      </c>
      <c r="C20" s="2"/>
      <c r="D20" s="2"/>
      <c r="E20" s="2"/>
      <c r="F20" s="1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hidden="1">
      <c r="A21" s="10"/>
      <c r="B21" s="14" t="s">
        <v>3</v>
      </c>
      <c r="C21" s="6" t="e">
        <f>AVERAGE(C19:C20)</f>
        <v>#DIV/0!</v>
      </c>
      <c r="D21" s="11"/>
      <c r="E21" s="6" t="e">
        <f>AVERAGE(E19:E20)</f>
        <v>#DIV/0!</v>
      </c>
      <c r="F21" s="15"/>
      <c r="G21" s="1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hidden="1">
      <c r="A22" s="10"/>
      <c r="B22" s="14" t="s">
        <v>4</v>
      </c>
      <c r="C22" s="6" t="e">
        <f>-1/((E20-E19)/(C20-C19))</f>
        <v>#DIV/0!</v>
      </c>
      <c r="D22" s="11"/>
      <c r="E22" s="11"/>
      <c r="F22" s="13"/>
      <c r="G22" s="1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hidden="1">
      <c r="A23" s="10"/>
      <c r="B23" s="14" t="s">
        <v>5</v>
      </c>
      <c r="C23" s="6" t="e">
        <f>E21-C22*C21</f>
        <v>#DIV/0!</v>
      </c>
      <c r="D23" s="11"/>
      <c r="E23" s="11"/>
      <c r="F23" s="1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10"/>
      <c r="B24" s="17"/>
      <c r="C24" s="11"/>
      <c r="D24" s="11"/>
      <c r="E24" s="11"/>
      <c r="F24" s="1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>
      <c r="A25" s="10"/>
      <c r="B25" s="18" t="s">
        <v>13</v>
      </c>
      <c r="C25" s="5" t="str">
        <f>IF(ISBLANK(C20),"",(C23-C17)/(C16-C22))</f>
        <v/>
      </c>
      <c r="D25" s="11"/>
      <c r="E25" s="6" t="str">
        <f>IF(ISBLANK(C20),"",C16*C25+C17)</f>
        <v/>
      </c>
      <c r="F25" s="1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idden="1">
      <c r="A26" s="10"/>
      <c r="B26" s="17"/>
      <c r="C26" s="11"/>
      <c r="D26" s="11"/>
      <c r="E26" s="20"/>
      <c r="F26" s="1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>
      <c r="A27" s="10"/>
      <c r="B27" s="14" t="s">
        <v>74</v>
      </c>
      <c r="C27" s="1">
        <v>0</v>
      </c>
      <c r="D27" s="11"/>
      <c r="E27" s="1">
        <v>0</v>
      </c>
      <c r="F27" s="1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>
      <c r="A28" s="10"/>
      <c r="B28" s="18" t="s">
        <v>14</v>
      </c>
      <c r="C28" s="5" t="str">
        <f>IF(ISBLANK(C20),"",C25+C27)</f>
        <v/>
      </c>
      <c r="D28" s="21"/>
      <c r="E28" s="6" t="str">
        <f>IF(ISBLANK(C20),"",E25+E27)</f>
        <v/>
      </c>
      <c r="F28" s="1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thickBot="1">
      <c r="A29" s="22"/>
      <c r="B29" s="23"/>
      <c r="C29" s="23"/>
      <c r="D29" s="23"/>
      <c r="E29" s="23"/>
      <c r="F29" s="2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thickBo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.75">
      <c r="A31" s="8"/>
      <c r="B31" s="39" t="s">
        <v>67</v>
      </c>
      <c r="C31" s="39"/>
      <c r="D31" s="39"/>
      <c r="E31" s="39"/>
      <c r="F31" s="9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.75">
      <c r="A32" s="10"/>
      <c r="B32" s="25"/>
      <c r="C32" s="12" t="s">
        <v>0</v>
      </c>
      <c r="D32" s="12" t="s">
        <v>1</v>
      </c>
      <c r="E32" s="12" t="s">
        <v>2</v>
      </c>
      <c r="F32" s="13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>
      <c r="A33" s="10"/>
      <c r="B33" s="14" t="s">
        <v>15</v>
      </c>
      <c r="C33" s="2"/>
      <c r="D33" s="2"/>
      <c r="E33" s="2"/>
      <c r="F33" s="1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>
      <c r="A34" s="10"/>
      <c r="B34" s="14" t="s">
        <v>16</v>
      </c>
      <c r="C34" s="2"/>
      <c r="D34" s="2"/>
      <c r="E34" s="2"/>
      <c r="F34" s="13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>
      <c r="A35" s="10"/>
      <c r="B35" s="14" t="s">
        <v>17</v>
      </c>
      <c r="C35" s="2"/>
      <c r="D35" s="2"/>
      <c r="E35" s="2"/>
      <c r="F35" s="1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>
      <c r="A36" s="10"/>
      <c r="B36" s="14" t="s">
        <v>18</v>
      </c>
      <c r="C36" s="2"/>
      <c r="D36" s="2"/>
      <c r="E36" s="2"/>
      <c r="F36" s="1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>
      <c r="A37" s="10"/>
      <c r="B37" s="26" t="s">
        <v>22</v>
      </c>
      <c r="C37" s="3"/>
      <c r="D37" s="11"/>
      <c r="E37" s="11"/>
      <c r="F37" s="1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>
      <c r="A38" s="10"/>
      <c r="B38" s="26" t="s">
        <v>29</v>
      </c>
      <c r="C38" s="3"/>
      <c r="D38" s="11"/>
      <c r="E38" s="11"/>
      <c r="F38" s="13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idden="1">
      <c r="A39" s="10"/>
      <c r="B39" s="11"/>
      <c r="C39" s="11"/>
      <c r="D39" s="11"/>
      <c r="E39" s="11"/>
      <c r="F39" s="1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hidden="1">
      <c r="A40" s="10"/>
      <c r="B40" s="14" t="s">
        <v>19</v>
      </c>
      <c r="C40" s="5" t="e">
        <f>SQRT((C33-C28)^2+(E33-E28)^2)</f>
        <v>#VALUE!</v>
      </c>
      <c r="D40" s="11"/>
      <c r="E40" s="11"/>
      <c r="F40" s="13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hidden="1">
      <c r="A41" s="10"/>
      <c r="B41" s="26" t="s">
        <v>21</v>
      </c>
      <c r="C41" s="6">
        <f>((C33-C34)^2+(D33-D34)^2+(E33-E34)^2)^0.5</f>
        <v>0</v>
      </c>
      <c r="D41" s="11"/>
      <c r="E41" s="11"/>
      <c r="F41" s="13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hidden="1">
      <c r="A42" s="10"/>
      <c r="B42" s="26" t="s">
        <v>23</v>
      </c>
      <c r="C42" s="6">
        <f>C37+C41</f>
        <v>0</v>
      </c>
      <c r="D42" s="11"/>
      <c r="E42" s="11"/>
      <c r="F42" s="13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hidden="1">
      <c r="A43" s="10"/>
      <c r="B43" s="26" t="s">
        <v>33</v>
      </c>
      <c r="C43" s="6">
        <f>SQRT(C42^2-(D33-D34)^2)</f>
        <v>0</v>
      </c>
      <c r="D43" s="27"/>
      <c r="E43" s="27"/>
      <c r="F43" s="15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hidden="1">
      <c r="A44" s="10"/>
      <c r="B44" s="26" t="s">
        <v>24</v>
      </c>
      <c r="C44" s="6" t="e">
        <f>SQRT((C34-C28)^2+(E34-E28)^2)</f>
        <v>#VALUE!</v>
      </c>
      <c r="D44" s="27"/>
      <c r="E44" s="27"/>
      <c r="F44" s="1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hidden="1">
      <c r="A45" s="10"/>
      <c r="B45" s="26" t="s">
        <v>36</v>
      </c>
      <c r="C45" s="6" t="e">
        <f>ABS((C40^2-C43^2+C44^2)/(2*C44))</f>
        <v>#VALUE!</v>
      </c>
      <c r="D45" s="27"/>
      <c r="E45" s="27"/>
      <c r="F45" s="15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hidden="1">
      <c r="A46" s="10"/>
      <c r="B46" s="26" t="s">
        <v>25</v>
      </c>
      <c r="C46" s="6" t="e">
        <f>C28+C45/SQRT(1+((E34-E28)/(C34-C28))^2)-SQRT((C40^2-C45^2)/(1+1/((E34-E28)/(C34-C28))^2))</f>
        <v>#VALUE!</v>
      </c>
      <c r="D46" s="27"/>
      <c r="E46" s="6" t="e">
        <f>SQRT(C40^2-(C46-C28)^2)+E28</f>
        <v>#VALUE!</v>
      </c>
      <c r="F46" s="1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hidden="1">
      <c r="A47" s="10"/>
      <c r="B47" s="26" t="s">
        <v>26</v>
      </c>
      <c r="C47" s="6" t="e">
        <f>C46-C33</f>
        <v>#VALUE!</v>
      </c>
      <c r="D47" s="27"/>
      <c r="E47" s="6" t="e">
        <f>E46-E33</f>
        <v>#VALUE!</v>
      </c>
      <c r="F47" s="1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>
      <c r="A48" s="10"/>
      <c r="B48" s="18" t="s">
        <v>27</v>
      </c>
      <c r="C48" s="28" t="str">
        <f>IF(ISBLANK(C38),"",SIGN(C37)*DEGREES(ASIN(((C47^2+E47^2)^0.5/2)/C40))*2)</f>
        <v/>
      </c>
      <c r="D48" s="11" t="s">
        <v>7</v>
      </c>
      <c r="E48" s="11"/>
      <c r="F48" s="13"/>
      <c r="G48" s="7"/>
      <c r="H48" s="11"/>
      <c r="I48" s="21"/>
      <c r="J48" s="21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idden="1">
      <c r="A49" s="10"/>
      <c r="B49" s="11"/>
      <c r="C49" s="11"/>
      <c r="D49" s="11"/>
      <c r="E49" s="11"/>
      <c r="F49" s="13"/>
      <c r="G49" s="7"/>
      <c r="H49" s="11"/>
      <c r="I49" s="29"/>
      <c r="J49" s="2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hidden="1">
      <c r="A50" s="10"/>
      <c r="B50" s="14" t="s">
        <v>20</v>
      </c>
      <c r="C50" s="5" t="e">
        <f>SQRT((C35-C28)^2+(E35-E28)^2)</f>
        <v>#VALUE!</v>
      </c>
      <c r="D50" s="11"/>
      <c r="E50" s="11"/>
      <c r="F50" s="13"/>
      <c r="G50" s="7"/>
      <c r="H50" s="11"/>
      <c r="I50" s="27"/>
      <c r="J50" s="30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hidden="1">
      <c r="A51" s="10"/>
      <c r="B51" s="26" t="s">
        <v>28</v>
      </c>
      <c r="C51" s="6">
        <f>((C35-C36)^2+(D35-D36)^2+(E35-E36)^2)^0.5</f>
        <v>0</v>
      </c>
      <c r="D51" s="11"/>
      <c r="E51" s="11"/>
      <c r="F51" s="13"/>
      <c r="G51" s="7"/>
      <c r="H51" s="11"/>
      <c r="I51" s="11"/>
      <c r="J51" s="11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hidden="1">
      <c r="A52" s="10"/>
      <c r="B52" s="26" t="s">
        <v>30</v>
      </c>
      <c r="C52" s="6">
        <f>C38+C51</f>
        <v>0</v>
      </c>
      <c r="D52" s="11"/>
      <c r="E52" s="11"/>
      <c r="F52" s="13"/>
      <c r="G52" s="7"/>
      <c r="H52" s="11"/>
      <c r="I52" s="11"/>
      <c r="J52" s="11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hidden="1">
      <c r="A53" s="10"/>
      <c r="B53" s="26" t="s">
        <v>32</v>
      </c>
      <c r="C53" s="6">
        <f>SQRT(C52^2-(D35-D36)^2)</f>
        <v>0</v>
      </c>
      <c r="D53" s="11"/>
      <c r="E53" s="11"/>
      <c r="F53" s="13"/>
      <c r="G53" s="7"/>
      <c r="H53" s="11"/>
      <c r="I53" s="11"/>
      <c r="J53" s="11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hidden="1">
      <c r="A54" s="10"/>
      <c r="B54" s="26" t="s">
        <v>31</v>
      </c>
      <c r="C54" s="6" t="e">
        <f>SQRT((C36-C28)^2+(E36-E28)^2)</f>
        <v>#VALUE!</v>
      </c>
      <c r="D54" s="11"/>
      <c r="E54" s="11"/>
      <c r="F54" s="13"/>
      <c r="G54" s="7"/>
      <c r="H54" s="11"/>
      <c r="I54" s="11"/>
      <c r="J54" s="11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hidden="1">
      <c r="A55" s="10"/>
      <c r="B55" s="26" t="s">
        <v>36</v>
      </c>
      <c r="C55" s="6" t="e">
        <f>ABS((C50^2-C53^2+C54^2)/(2*C54))</f>
        <v>#VALUE!</v>
      </c>
      <c r="D55" s="11"/>
      <c r="E55" s="11"/>
      <c r="F55" s="15"/>
      <c r="G55" s="7"/>
      <c r="H55" s="11"/>
      <c r="I55" s="11"/>
      <c r="J55" s="1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hidden="1">
      <c r="A56" s="10"/>
      <c r="B56" s="26" t="s">
        <v>25</v>
      </c>
      <c r="C56" s="6" t="e">
        <f>C28+C55/SQRT(1+((E36-E28)/(C36-C28))^2)-SQRT((C50^2-C55^2)/(1+1/((E36-E28)/(C36-C28))^2))</f>
        <v>#VALUE!</v>
      </c>
      <c r="D56" s="27"/>
      <c r="E56" s="6" t="e">
        <f>SQRT(C50^2-(C56-C28)^2)+E28</f>
        <v>#VALUE!</v>
      </c>
      <c r="F56" s="13"/>
      <c r="G56" s="7"/>
      <c r="H56" s="11"/>
      <c r="I56" s="11"/>
      <c r="J56" s="11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hidden="1">
      <c r="A57" s="10"/>
      <c r="B57" s="26" t="s">
        <v>34</v>
      </c>
      <c r="C57" s="6" t="e">
        <f>C56-C35</f>
        <v>#VALUE!</v>
      </c>
      <c r="D57" s="27"/>
      <c r="E57" s="6" t="e">
        <f>E56-E35</f>
        <v>#VALUE!</v>
      </c>
      <c r="F57" s="13"/>
      <c r="G57" s="7"/>
      <c r="H57" s="11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>
      <c r="A58" s="10"/>
      <c r="B58" s="18" t="s">
        <v>35</v>
      </c>
      <c r="C58" s="28" t="str">
        <f>IF(ISBLANK(C38),"",SIGN(C38)*DEGREES(ASIN(((C57^2+E57^2)^0.5/2)/C50))*2)</f>
        <v/>
      </c>
      <c r="D58" s="11" t="s">
        <v>7</v>
      </c>
      <c r="E58" s="11"/>
      <c r="F58" s="13"/>
      <c r="G58" s="7"/>
      <c r="H58" s="11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thickBot="1">
      <c r="A59" s="22"/>
      <c r="B59" s="23"/>
      <c r="C59" s="23"/>
      <c r="D59" s="23"/>
      <c r="E59" s="23"/>
      <c r="F59" s="24"/>
      <c r="G59" s="7"/>
      <c r="H59" s="3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thickBo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8.75">
      <c r="A61" s="8"/>
      <c r="B61" s="39" t="s">
        <v>37</v>
      </c>
      <c r="C61" s="39"/>
      <c r="D61" s="39"/>
      <c r="E61" s="39"/>
      <c r="F61" s="9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8.75">
      <c r="A62" s="10"/>
      <c r="B62" s="25"/>
      <c r="C62" s="12" t="s">
        <v>0</v>
      </c>
      <c r="D62" s="12" t="s">
        <v>1</v>
      </c>
      <c r="E62" s="12" t="s">
        <v>2</v>
      </c>
      <c r="F62" s="13"/>
      <c r="G62" s="7"/>
      <c r="H62" s="7"/>
      <c r="I62" s="27"/>
      <c r="J62" s="30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>
      <c r="A63" s="10"/>
      <c r="B63" s="14" t="s">
        <v>38</v>
      </c>
      <c r="C63" s="3"/>
      <c r="D63" s="2"/>
      <c r="E63" s="2"/>
      <c r="F63" s="13"/>
      <c r="G63" s="7"/>
      <c r="H63" s="7"/>
      <c r="I63" s="11"/>
      <c r="J63" s="11"/>
      <c r="K63" s="11"/>
      <c r="L63" s="16"/>
      <c r="M63" s="1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>
      <c r="A64" s="10"/>
      <c r="B64" s="14" t="s">
        <v>39</v>
      </c>
      <c r="C64" s="3"/>
      <c r="D64" s="2"/>
      <c r="E64" s="2"/>
      <c r="F64" s="13"/>
      <c r="G64" s="7"/>
      <c r="H64" s="7"/>
      <c r="I64" s="11"/>
      <c r="J64" s="11"/>
      <c r="K64" s="11"/>
      <c r="L64" s="16"/>
      <c r="M64" s="1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>
      <c r="A65" s="10"/>
      <c r="B65" s="14" t="s">
        <v>40</v>
      </c>
      <c r="C65" s="3"/>
      <c r="D65" s="2"/>
      <c r="E65" s="2"/>
      <c r="F65" s="13"/>
      <c r="G65" s="7"/>
      <c r="H65" s="7"/>
      <c r="I65" s="11"/>
      <c r="J65" s="11"/>
      <c r="K65" s="11"/>
      <c r="L65" s="16"/>
      <c r="M65" s="1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>
      <c r="A66" s="10"/>
      <c r="B66" s="14" t="s">
        <v>41</v>
      </c>
      <c r="C66" s="3"/>
      <c r="D66" s="32"/>
      <c r="E66" s="30"/>
      <c r="F66" s="13"/>
      <c r="G66" s="7"/>
      <c r="H66" s="7"/>
      <c r="I66" s="11"/>
      <c r="J66" s="11"/>
      <c r="K66" s="11"/>
      <c r="L66" s="16"/>
      <c r="M66" s="1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>
      <c r="A67" s="10"/>
      <c r="B67" s="14" t="s">
        <v>42</v>
      </c>
      <c r="C67" s="3"/>
      <c r="D67" s="32"/>
      <c r="E67" s="30"/>
      <c r="F67" s="13"/>
      <c r="G67" s="7"/>
      <c r="H67" s="7"/>
      <c r="I67" s="11"/>
      <c r="J67" s="11"/>
      <c r="K67" s="11"/>
      <c r="L67" s="16"/>
      <c r="M67" s="1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idden="1">
      <c r="A68" s="10"/>
      <c r="B68" s="11"/>
      <c r="C68" s="11"/>
      <c r="D68" s="32"/>
      <c r="E68" s="30"/>
      <c r="F68" s="13"/>
      <c r="G68" s="7"/>
      <c r="H68" s="7"/>
      <c r="I68" s="11"/>
      <c r="J68" s="11"/>
      <c r="K68" s="11"/>
      <c r="L68" s="16"/>
      <c r="M68" s="1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hidden="1">
      <c r="A69" s="10"/>
      <c r="B69" s="14" t="s">
        <v>43</v>
      </c>
      <c r="C69" s="5" t="e">
        <f>SQRT((C64-C28)^2+(E64-E28)^2)</f>
        <v>#VALUE!</v>
      </c>
      <c r="D69" s="32"/>
      <c r="E69" s="30"/>
      <c r="F69" s="13"/>
      <c r="G69" s="7"/>
      <c r="H69" s="7"/>
      <c r="I69" s="11"/>
      <c r="J69" s="11"/>
      <c r="K69" s="11"/>
      <c r="L69" s="16"/>
      <c r="M69" s="1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hidden="1">
      <c r="A70" s="10"/>
      <c r="B70" s="14" t="s">
        <v>44</v>
      </c>
      <c r="C70" s="5" t="e">
        <f>SQRT((C65-C28)^2+(E65-E28)^2)</f>
        <v>#VALUE!</v>
      </c>
      <c r="D70" s="32"/>
      <c r="E70" s="30"/>
      <c r="F70" s="13"/>
      <c r="G70" s="7"/>
      <c r="H70" s="7"/>
      <c r="I70" s="11"/>
      <c r="J70" s="11"/>
      <c r="K70" s="11"/>
      <c r="L70" s="16"/>
      <c r="M70" s="1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hidden="1">
      <c r="A71" s="10"/>
      <c r="B71" s="14" t="s">
        <v>45</v>
      </c>
      <c r="C71" s="28" t="e">
        <f>((C48-C58)/(D33-D35))*(D64-D33)+C48</f>
        <v>#VALUE!</v>
      </c>
      <c r="D71" s="11" t="s">
        <v>7</v>
      </c>
      <c r="E71" s="30"/>
      <c r="F71" s="13"/>
      <c r="G71" s="7"/>
      <c r="H71" s="7"/>
      <c r="I71" s="11"/>
      <c r="J71" s="11"/>
      <c r="K71" s="11"/>
      <c r="L71" s="16"/>
      <c r="M71" s="1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hidden="1">
      <c r="A72" s="10"/>
      <c r="B72" s="14" t="s">
        <v>46</v>
      </c>
      <c r="C72" s="28" t="e">
        <f>((C48-C58)/(D33-D35))*(D65-D35)+C58</f>
        <v>#VALUE!</v>
      </c>
      <c r="D72" s="11" t="s">
        <v>7</v>
      </c>
      <c r="E72" s="30"/>
      <c r="F72" s="13"/>
      <c r="G72" s="7"/>
      <c r="H72" s="7"/>
      <c r="I72" s="11"/>
      <c r="J72" s="11"/>
      <c r="K72" s="11"/>
      <c r="L72" s="16"/>
      <c r="M72" s="1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hidden="1">
      <c r="A73" s="10"/>
      <c r="B73" s="14" t="s">
        <v>47</v>
      </c>
      <c r="C73" s="5">
        <f>((C63-C64)^2+(D63-D64)^2+(E63-E64)^2)^0.5</f>
        <v>0</v>
      </c>
      <c r="D73" s="11"/>
      <c r="E73" s="11"/>
      <c r="F73" s="13"/>
      <c r="G73" s="7"/>
      <c r="H73" s="7"/>
      <c r="I73" s="11"/>
      <c r="J73" s="11"/>
      <c r="K73" s="11"/>
      <c r="L73" s="16"/>
      <c r="M73" s="1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hidden="1">
      <c r="A74" s="10"/>
      <c r="B74" s="14" t="s">
        <v>51</v>
      </c>
      <c r="C74" s="5">
        <f>C66+C73</f>
        <v>0</v>
      </c>
      <c r="D74" s="11"/>
      <c r="E74" s="11"/>
      <c r="F74" s="13"/>
      <c r="G74" s="7"/>
      <c r="H74" s="11"/>
      <c r="I74" s="11"/>
      <c r="J74" s="11"/>
      <c r="K74" s="11"/>
      <c r="L74" s="16"/>
      <c r="M74" s="1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hidden="1">
      <c r="A75" s="10"/>
      <c r="B75" s="14" t="s">
        <v>50</v>
      </c>
      <c r="C75" s="5">
        <f>((C63-C65)^2+(D63-D65)^2+(E63-E65)^2)^0.5</f>
        <v>0</v>
      </c>
      <c r="D75" s="11"/>
      <c r="E75" s="11"/>
      <c r="F75" s="13"/>
      <c r="G75" s="7"/>
      <c r="H75" s="11"/>
      <c r="I75" s="11"/>
      <c r="J75" s="11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hidden="1">
      <c r="A76" s="10"/>
      <c r="B76" s="14" t="s">
        <v>52</v>
      </c>
      <c r="C76" s="5">
        <f>C67+C75</f>
        <v>0</v>
      </c>
      <c r="D76" s="11"/>
      <c r="E76" s="11"/>
      <c r="F76" s="13"/>
      <c r="G76" s="7"/>
      <c r="H76" s="11"/>
      <c r="I76" s="11"/>
      <c r="J76" s="7"/>
      <c r="K76" s="11"/>
      <c r="L76" s="16"/>
      <c r="M76" s="1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hidden="1">
      <c r="A77" s="10"/>
      <c r="B77" s="14" t="s">
        <v>48</v>
      </c>
      <c r="C77" s="5" t="e">
        <f>C28+C69*COS(ATAN((E64-E28)/(C64-C28))+RADIANS(C71))</f>
        <v>#VALUE!</v>
      </c>
      <c r="D77" s="5">
        <f>D64</f>
        <v>0</v>
      </c>
      <c r="E77" s="5" t="e">
        <f>E28+SQRT(C69^2-(C28-C77)^2)</f>
        <v>#VALUE!</v>
      </c>
      <c r="F77" s="13"/>
      <c r="G77" s="7"/>
      <c r="H77" s="11"/>
      <c r="I77" s="7"/>
      <c r="J77" s="7"/>
      <c r="K77" s="7"/>
      <c r="L77" s="16"/>
      <c r="M77" s="16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hidden="1">
      <c r="A78" s="10"/>
      <c r="B78" s="14" t="s">
        <v>49</v>
      </c>
      <c r="C78" s="5" t="e">
        <f>C28+C70*COS(ATAN((E65-E28)/(C65-C28))+RADIANS(C72))</f>
        <v>#VALUE!</v>
      </c>
      <c r="D78" s="5">
        <f>D65</f>
        <v>0</v>
      </c>
      <c r="E78" s="5" t="e">
        <f>E28+SQRT(C70^2-(C28-C78)^2)</f>
        <v>#VALUE!</v>
      </c>
      <c r="F78" s="13"/>
      <c r="G78" s="7"/>
      <c r="H78" s="11"/>
      <c r="I78" s="7"/>
      <c r="J78" s="7"/>
      <c r="K78" s="7"/>
      <c r="L78" s="16"/>
      <c r="M78" s="1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hidden="1">
      <c r="A79" s="10"/>
      <c r="B79" s="14" t="s">
        <v>53</v>
      </c>
      <c r="C79" s="5" t="e">
        <f>SQRT(C74^2-(E63-E77)^2)</f>
        <v>#VALUE!</v>
      </c>
      <c r="D79" s="11"/>
      <c r="E79" s="11"/>
      <c r="F79" s="13"/>
      <c r="G79" s="7"/>
      <c r="H79" s="11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hidden="1">
      <c r="A80" s="10"/>
      <c r="B80" s="14" t="s">
        <v>54</v>
      </c>
      <c r="C80" s="5" t="e">
        <f>SQRT(C76^2-(E63-E78)^2)</f>
        <v>#VALUE!</v>
      </c>
      <c r="D80" s="11"/>
      <c r="E80" s="11"/>
      <c r="F80" s="13"/>
      <c r="G80" s="7"/>
      <c r="H80" s="31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hidden="1">
      <c r="A81" s="10"/>
      <c r="B81" s="14" t="s">
        <v>55</v>
      </c>
      <c r="C81" s="5" t="e">
        <f>SQRT((C77-C78)^2+(D77-D78)^2)</f>
        <v>#VALUE!</v>
      </c>
      <c r="D81" s="11"/>
      <c r="E81" s="11"/>
      <c r="F81" s="13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hidden="1">
      <c r="A82" s="10"/>
      <c r="B82" s="14" t="s">
        <v>56</v>
      </c>
      <c r="C82" s="5" t="e">
        <f>(C80^2-C79^2-C81^2)/(2*C81)</f>
        <v>#VALUE!</v>
      </c>
      <c r="D82" s="11"/>
      <c r="E82" s="11"/>
      <c r="F82" s="13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hidden="1">
      <c r="A83" s="10"/>
      <c r="B83" s="14" t="s">
        <v>57</v>
      </c>
      <c r="C83" s="5" t="e">
        <f>C77-(SQRT((C79^2-C82^2)/(1+((C77-C78)/(D77-D78))^2))-SIGN(C77-C78)*C82*SQRT(1-1/(1+((C77-C78)/(D77-D78))^2)))</f>
        <v>#VALUE!</v>
      </c>
      <c r="D83" s="5" t="e">
        <f>D77-SQRT(C79^2-(C77-C83)^2)</f>
        <v>#VALUE!</v>
      </c>
      <c r="E83" s="11"/>
      <c r="F83" s="13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>
      <c r="A84" s="10"/>
      <c r="B84" s="18" t="s">
        <v>58</v>
      </c>
      <c r="C84" s="5" t="str">
        <f>IF(ISBLANK(C67),"",C63-C83)</f>
        <v/>
      </c>
      <c r="D84" s="5" t="str">
        <f>IF(ISBLANK(C38),"",D63-D83)</f>
        <v/>
      </c>
      <c r="E84" s="20"/>
      <c r="F84" s="13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thickBot="1">
      <c r="A85" s="22"/>
      <c r="B85" s="23"/>
      <c r="C85" s="23"/>
      <c r="D85" s="23"/>
      <c r="E85" s="23"/>
      <c r="F85" s="24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>
      <c r="A101" s="7"/>
      <c r="B101" s="7"/>
      <c r="C101" s="7"/>
      <c r="D101" s="7"/>
      <c r="E101" s="7"/>
      <c r="F101" s="7"/>
      <c r="G101" s="7"/>
      <c r="H101" s="33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A102" s="7"/>
      <c r="B102" s="7"/>
      <c r="C102" s="7"/>
      <c r="D102" s="7"/>
      <c r="E102" s="7"/>
      <c r="F102" s="7"/>
      <c r="G102" s="7"/>
      <c r="H102" s="34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6" t="s">
        <v>72</v>
      </c>
      <c r="N127" s="36"/>
      <c r="O127" s="36"/>
      <c r="P127" s="36"/>
      <c r="Q127" s="36"/>
      <c r="R127" s="36"/>
      <c r="S127" s="36"/>
      <c r="T127" s="36"/>
      <c r="U127" s="36"/>
      <c r="V127" s="35"/>
      <c r="W127" s="35"/>
      <c r="X127" s="35"/>
      <c r="Y127" s="35"/>
      <c r="Z127" s="35"/>
    </row>
    <row r="128" spans="1:26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6" t="s">
        <v>6</v>
      </c>
      <c r="N128" s="36" t="s">
        <v>59</v>
      </c>
      <c r="O128" s="36" t="s">
        <v>60</v>
      </c>
      <c r="P128" s="36" t="s">
        <v>61</v>
      </c>
      <c r="Q128" s="36" t="s">
        <v>62</v>
      </c>
      <c r="R128" s="36" t="s">
        <v>63</v>
      </c>
      <c r="S128" s="36" t="s">
        <v>64</v>
      </c>
      <c r="T128" s="36" t="s">
        <v>65</v>
      </c>
      <c r="U128" s="36" t="s">
        <v>66</v>
      </c>
      <c r="V128" s="35"/>
      <c r="W128" s="35"/>
      <c r="X128" s="35"/>
      <c r="Y128" s="35"/>
      <c r="Z128" s="35"/>
    </row>
    <row r="129" spans="1:26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6">
        <v>0</v>
      </c>
      <c r="N129" s="37" t="str">
        <f>C28</f>
        <v/>
      </c>
      <c r="O129" s="37" t="e">
        <f t="shared" ref="O129:O138" si="0">$E$28+SQRT($C$40^2-($C$28-N129)^2)</f>
        <v>#VALUE!</v>
      </c>
      <c r="P129" s="37" t="str">
        <f>C28</f>
        <v/>
      </c>
      <c r="Q129" s="37" t="e">
        <f>$E$28+SQRT($C$50^2-($C$28-N129)^2)</f>
        <v>#VALUE!</v>
      </c>
      <c r="R129" s="37">
        <f>C34</f>
        <v>0</v>
      </c>
      <c r="S129" s="37">
        <f>E34+C43</f>
        <v>0</v>
      </c>
      <c r="T129" s="37">
        <f>C36</f>
        <v>0</v>
      </c>
      <c r="U129" s="37">
        <f>E36+C53</f>
        <v>0</v>
      </c>
      <c r="V129" s="35"/>
      <c r="W129" s="35"/>
      <c r="X129" s="35"/>
      <c r="Y129" s="35"/>
      <c r="Z129" s="35"/>
    </row>
    <row r="130" spans="1:26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6">
        <f>M129+9</f>
        <v>9</v>
      </c>
      <c r="N130" s="36" t="e">
        <f t="shared" ref="N130:N140" si="1">$N$129+($C$40*SIN(RADIANS(M130)))</f>
        <v>#VALUE!</v>
      </c>
      <c r="O130" s="37" t="e">
        <f t="shared" si="0"/>
        <v>#VALUE!</v>
      </c>
      <c r="P130" s="37" t="e">
        <f t="shared" ref="P130:P140" si="2">$N$129+($C$50*SIN(RADIANS(M130)))</f>
        <v>#VALUE!</v>
      </c>
      <c r="Q130" s="37" t="e">
        <f t="shared" ref="Q130:Q138" si="3">$E$28+SQRT($C$50^2-($C$28-P130)^2)</f>
        <v>#VALUE!</v>
      </c>
      <c r="R130" s="37">
        <f t="shared" ref="R130:R144" si="4">$C$34-SQRT($C$43^2-($E$34-S130)^2)</f>
        <v>0</v>
      </c>
      <c r="S130" s="37">
        <f t="shared" ref="S130:S139" si="5">$S$129-$C$43*SIN(RADIANS(M130))</f>
        <v>0</v>
      </c>
      <c r="T130" s="37">
        <f t="shared" ref="T130:T144" si="6">$C$36-SQRT($C$53^2-($E$36-U130)^2)</f>
        <v>0</v>
      </c>
      <c r="U130" s="37">
        <f t="shared" ref="U130:U139" si="7">$U$129-$C$53*SIN(RADIANS(M130))</f>
        <v>0</v>
      </c>
      <c r="V130" s="35"/>
      <c r="W130" s="35"/>
      <c r="X130" s="35"/>
      <c r="Y130" s="35"/>
      <c r="Z130" s="35"/>
    </row>
    <row r="131" spans="1:26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6">
        <f>M130+9</f>
        <v>18</v>
      </c>
      <c r="N131" s="36" t="e">
        <f t="shared" si="1"/>
        <v>#VALUE!</v>
      </c>
      <c r="O131" s="37" t="e">
        <f t="shared" si="0"/>
        <v>#VALUE!</v>
      </c>
      <c r="P131" s="37" t="e">
        <f t="shared" si="2"/>
        <v>#VALUE!</v>
      </c>
      <c r="Q131" s="37" t="e">
        <f t="shared" si="3"/>
        <v>#VALUE!</v>
      </c>
      <c r="R131" s="37">
        <f t="shared" si="4"/>
        <v>0</v>
      </c>
      <c r="S131" s="37">
        <f t="shared" si="5"/>
        <v>0</v>
      </c>
      <c r="T131" s="37">
        <f t="shared" si="6"/>
        <v>0</v>
      </c>
      <c r="U131" s="37">
        <f t="shared" si="7"/>
        <v>0</v>
      </c>
      <c r="V131" s="35"/>
      <c r="W131" s="35"/>
      <c r="X131" s="35"/>
      <c r="Y131" s="35"/>
      <c r="Z131" s="35"/>
    </row>
    <row r="132" spans="1:26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6">
        <f t="shared" ref="M132:M144" si="8">M131+9</f>
        <v>27</v>
      </c>
      <c r="N132" s="36" t="e">
        <f t="shared" si="1"/>
        <v>#VALUE!</v>
      </c>
      <c r="O132" s="37" t="e">
        <f t="shared" si="0"/>
        <v>#VALUE!</v>
      </c>
      <c r="P132" s="37" t="e">
        <f t="shared" si="2"/>
        <v>#VALUE!</v>
      </c>
      <c r="Q132" s="37" t="e">
        <f t="shared" si="3"/>
        <v>#VALUE!</v>
      </c>
      <c r="R132" s="37">
        <f t="shared" si="4"/>
        <v>0</v>
      </c>
      <c r="S132" s="37">
        <f t="shared" si="5"/>
        <v>0</v>
      </c>
      <c r="T132" s="37">
        <f t="shared" si="6"/>
        <v>0</v>
      </c>
      <c r="U132" s="37">
        <f t="shared" si="7"/>
        <v>0</v>
      </c>
      <c r="V132" s="35"/>
      <c r="W132" s="35"/>
      <c r="X132" s="35"/>
      <c r="Y132" s="35"/>
      <c r="Z132" s="35"/>
    </row>
    <row r="133" spans="1:26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6">
        <f t="shared" si="8"/>
        <v>36</v>
      </c>
      <c r="N133" s="36" t="e">
        <f t="shared" si="1"/>
        <v>#VALUE!</v>
      </c>
      <c r="O133" s="37" t="e">
        <f t="shared" si="0"/>
        <v>#VALUE!</v>
      </c>
      <c r="P133" s="37" t="e">
        <f t="shared" si="2"/>
        <v>#VALUE!</v>
      </c>
      <c r="Q133" s="37" t="e">
        <f t="shared" si="3"/>
        <v>#VALUE!</v>
      </c>
      <c r="R133" s="37">
        <f t="shared" si="4"/>
        <v>0</v>
      </c>
      <c r="S133" s="37">
        <f t="shared" si="5"/>
        <v>0</v>
      </c>
      <c r="T133" s="37">
        <f t="shared" si="6"/>
        <v>0</v>
      </c>
      <c r="U133" s="37">
        <f t="shared" si="7"/>
        <v>0</v>
      </c>
      <c r="V133" s="35"/>
      <c r="W133" s="35"/>
      <c r="X133" s="35"/>
      <c r="Y133" s="35"/>
      <c r="Z133" s="35"/>
    </row>
    <row r="134" spans="1:26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6">
        <f t="shared" si="8"/>
        <v>45</v>
      </c>
      <c r="N134" s="36" t="e">
        <f t="shared" si="1"/>
        <v>#VALUE!</v>
      </c>
      <c r="O134" s="37" t="e">
        <f t="shared" si="0"/>
        <v>#VALUE!</v>
      </c>
      <c r="P134" s="37" t="e">
        <f t="shared" si="2"/>
        <v>#VALUE!</v>
      </c>
      <c r="Q134" s="37" t="e">
        <f t="shared" si="3"/>
        <v>#VALUE!</v>
      </c>
      <c r="R134" s="37">
        <f t="shared" si="4"/>
        <v>0</v>
      </c>
      <c r="S134" s="37">
        <f t="shared" si="5"/>
        <v>0</v>
      </c>
      <c r="T134" s="37">
        <f t="shared" si="6"/>
        <v>0</v>
      </c>
      <c r="U134" s="37">
        <f t="shared" si="7"/>
        <v>0</v>
      </c>
      <c r="V134" s="35"/>
      <c r="W134" s="35"/>
      <c r="X134" s="35"/>
      <c r="Y134" s="35"/>
      <c r="Z134" s="35"/>
    </row>
    <row r="135" spans="1:26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6">
        <f t="shared" si="8"/>
        <v>54</v>
      </c>
      <c r="N135" s="36" t="e">
        <f t="shared" si="1"/>
        <v>#VALUE!</v>
      </c>
      <c r="O135" s="37" t="e">
        <f t="shared" si="0"/>
        <v>#VALUE!</v>
      </c>
      <c r="P135" s="37" t="e">
        <f t="shared" si="2"/>
        <v>#VALUE!</v>
      </c>
      <c r="Q135" s="37" t="e">
        <f t="shared" si="3"/>
        <v>#VALUE!</v>
      </c>
      <c r="R135" s="37">
        <f t="shared" si="4"/>
        <v>0</v>
      </c>
      <c r="S135" s="37">
        <f t="shared" si="5"/>
        <v>0</v>
      </c>
      <c r="T135" s="37">
        <f t="shared" si="6"/>
        <v>0</v>
      </c>
      <c r="U135" s="37">
        <f t="shared" si="7"/>
        <v>0</v>
      </c>
      <c r="V135" s="35"/>
      <c r="W135" s="35"/>
      <c r="X135" s="35"/>
      <c r="Y135" s="35"/>
      <c r="Z135" s="35"/>
    </row>
    <row r="136" spans="1:26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6">
        <f t="shared" si="8"/>
        <v>63</v>
      </c>
      <c r="N136" s="36" t="e">
        <f t="shared" si="1"/>
        <v>#VALUE!</v>
      </c>
      <c r="O136" s="37" t="e">
        <f t="shared" si="0"/>
        <v>#VALUE!</v>
      </c>
      <c r="P136" s="37" t="e">
        <f t="shared" si="2"/>
        <v>#VALUE!</v>
      </c>
      <c r="Q136" s="37" t="e">
        <f t="shared" si="3"/>
        <v>#VALUE!</v>
      </c>
      <c r="R136" s="37">
        <f t="shared" si="4"/>
        <v>0</v>
      </c>
      <c r="S136" s="37">
        <f t="shared" si="5"/>
        <v>0</v>
      </c>
      <c r="T136" s="37">
        <f t="shared" si="6"/>
        <v>0</v>
      </c>
      <c r="U136" s="37">
        <f t="shared" si="7"/>
        <v>0</v>
      </c>
      <c r="V136" s="35"/>
      <c r="W136" s="35"/>
      <c r="X136" s="35"/>
      <c r="Y136" s="35"/>
      <c r="Z136" s="35"/>
    </row>
    <row r="137" spans="1:26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6">
        <f t="shared" si="8"/>
        <v>72</v>
      </c>
      <c r="N137" s="36" t="e">
        <f t="shared" si="1"/>
        <v>#VALUE!</v>
      </c>
      <c r="O137" s="37" t="e">
        <f t="shared" si="0"/>
        <v>#VALUE!</v>
      </c>
      <c r="P137" s="37" t="e">
        <f t="shared" si="2"/>
        <v>#VALUE!</v>
      </c>
      <c r="Q137" s="37" t="e">
        <f t="shared" si="3"/>
        <v>#VALUE!</v>
      </c>
      <c r="R137" s="37">
        <f t="shared" si="4"/>
        <v>0</v>
      </c>
      <c r="S137" s="37">
        <f t="shared" si="5"/>
        <v>0</v>
      </c>
      <c r="T137" s="37">
        <f t="shared" si="6"/>
        <v>0</v>
      </c>
      <c r="U137" s="37">
        <f t="shared" si="7"/>
        <v>0</v>
      </c>
      <c r="V137" s="35"/>
      <c r="W137" s="35"/>
      <c r="X137" s="35"/>
      <c r="Y137" s="35"/>
      <c r="Z137" s="35"/>
    </row>
    <row r="138" spans="1:26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6">
        <f t="shared" si="8"/>
        <v>81</v>
      </c>
      <c r="N138" s="36" t="e">
        <f t="shared" si="1"/>
        <v>#VALUE!</v>
      </c>
      <c r="O138" s="37" t="e">
        <f t="shared" si="0"/>
        <v>#VALUE!</v>
      </c>
      <c r="P138" s="37" t="e">
        <f t="shared" si="2"/>
        <v>#VALUE!</v>
      </c>
      <c r="Q138" s="37" t="e">
        <f t="shared" si="3"/>
        <v>#VALUE!</v>
      </c>
      <c r="R138" s="37">
        <f t="shared" si="4"/>
        <v>0</v>
      </c>
      <c r="S138" s="37">
        <f t="shared" si="5"/>
        <v>0</v>
      </c>
      <c r="T138" s="37">
        <f t="shared" si="6"/>
        <v>0</v>
      </c>
      <c r="U138" s="37">
        <f t="shared" si="7"/>
        <v>0</v>
      </c>
      <c r="V138" s="35"/>
      <c r="W138" s="35"/>
      <c r="X138" s="35"/>
      <c r="Y138" s="35"/>
      <c r="Z138" s="35"/>
    </row>
    <row r="139" spans="1:26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6">
        <f t="shared" si="8"/>
        <v>90</v>
      </c>
      <c r="N139" s="36" t="e">
        <f t="shared" si="1"/>
        <v>#VALUE!</v>
      </c>
      <c r="O139" s="37" t="str">
        <f>E28</f>
        <v/>
      </c>
      <c r="P139" s="37" t="e">
        <f t="shared" si="2"/>
        <v>#VALUE!</v>
      </c>
      <c r="Q139" s="37" t="str">
        <f>E28</f>
        <v/>
      </c>
      <c r="R139" s="37">
        <f t="shared" si="4"/>
        <v>0</v>
      </c>
      <c r="S139" s="37">
        <f t="shared" si="5"/>
        <v>0</v>
      </c>
      <c r="T139" s="37">
        <f t="shared" si="6"/>
        <v>0</v>
      </c>
      <c r="U139" s="37">
        <f t="shared" si="7"/>
        <v>0</v>
      </c>
      <c r="V139" s="35"/>
      <c r="W139" s="35"/>
      <c r="X139" s="35"/>
      <c r="Y139" s="35"/>
      <c r="Z139" s="35"/>
    </row>
    <row r="140" spans="1:26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6">
        <f t="shared" si="8"/>
        <v>99</v>
      </c>
      <c r="N140" s="36" t="e">
        <f t="shared" si="1"/>
        <v>#VALUE!</v>
      </c>
      <c r="O140" s="36"/>
      <c r="P140" s="37" t="e">
        <f t="shared" si="2"/>
        <v>#VALUE!</v>
      </c>
      <c r="Q140" s="36"/>
      <c r="R140" s="37">
        <f t="shared" si="4"/>
        <v>0</v>
      </c>
      <c r="S140" s="37">
        <f>$S$139-$C$43*(1-SIN(RADIANS(M140)))</f>
        <v>0</v>
      </c>
      <c r="T140" s="37">
        <f t="shared" si="6"/>
        <v>0</v>
      </c>
      <c r="U140" s="37">
        <f>$U$139-$C$53*(1-SIN(RADIANS(M140)))</f>
        <v>0</v>
      </c>
      <c r="V140" s="35"/>
      <c r="W140" s="35"/>
      <c r="X140" s="35"/>
      <c r="Y140" s="35"/>
      <c r="Z140" s="35"/>
    </row>
    <row r="141" spans="1:26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6">
        <f t="shared" si="8"/>
        <v>108</v>
      </c>
      <c r="N141" s="36"/>
      <c r="O141" s="36"/>
      <c r="P141" s="36"/>
      <c r="Q141" s="36"/>
      <c r="R141" s="37">
        <f t="shared" si="4"/>
        <v>0</v>
      </c>
      <c r="S141" s="37">
        <f>$S$139-$C$43*(1-SIN(RADIANS(M141)))</f>
        <v>0</v>
      </c>
      <c r="T141" s="37">
        <f t="shared" si="6"/>
        <v>0</v>
      </c>
      <c r="U141" s="37">
        <f>$U$139-$C$53*(1-SIN(RADIANS(M141)))</f>
        <v>0</v>
      </c>
      <c r="V141" s="35"/>
      <c r="W141" s="35"/>
      <c r="X141" s="35"/>
      <c r="Y141" s="35"/>
      <c r="Z141" s="35"/>
    </row>
    <row r="142" spans="1:26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6">
        <f t="shared" si="8"/>
        <v>117</v>
      </c>
      <c r="N142" s="36"/>
      <c r="O142" s="36"/>
      <c r="P142" s="36"/>
      <c r="Q142" s="36"/>
      <c r="R142" s="37">
        <f t="shared" si="4"/>
        <v>0</v>
      </c>
      <c r="S142" s="37">
        <f>$S$139-$C$43*(1-SIN(RADIANS(M142)))</f>
        <v>0</v>
      </c>
      <c r="T142" s="37">
        <f t="shared" si="6"/>
        <v>0</v>
      </c>
      <c r="U142" s="37">
        <f>$U$139-$C$53*(1-SIN(RADIANS(M142)))</f>
        <v>0</v>
      </c>
      <c r="V142" s="35"/>
      <c r="W142" s="35"/>
      <c r="X142" s="35"/>
      <c r="Y142" s="35"/>
      <c r="Z142" s="35"/>
    </row>
    <row r="143" spans="1:26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6">
        <f t="shared" si="8"/>
        <v>126</v>
      </c>
      <c r="N143" s="36"/>
      <c r="O143" s="36"/>
      <c r="P143" s="36"/>
      <c r="Q143" s="36"/>
      <c r="R143" s="37">
        <f t="shared" si="4"/>
        <v>0</v>
      </c>
      <c r="S143" s="37">
        <f>$S$139-$C$43*(1-SIN(RADIANS(M143)))</f>
        <v>0</v>
      </c>
      <c r="T143" s="37">
        <f t="shared" si="6"/>
        <v>0</v>
      </c>
      <c r="U143" s="37">
        <f>$U$139-$C$53*(1-SIN(RADIANS(M143)))</f>
        <v>0</v>
      </c>
      <c r="V143" s="35"/>
      <c r="W143" s="35"/>
      <c r="X143" s="35"/>
      <c r="Y143" s="35"/>
      <c r="Z143" s="35"/>
    </row>
    <row r="144" spans="1:26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6">
        <f t="shared" si="8"/>
        <v>135</v>
      </c>
      <c r="N144" s="36"/>
      <c r="O144" s="36"/>
      <c r="P144" s="36"/>
      <c r="Q144" s="36"/>
      <c r="R144" s="37">
        <f t="shared" si="4"/>
        <v>0</v>
      </c>
      <c r="S144" s="37">
        <f>$S$139-$C$43*(1-SIN(RADIANS(M144)))</f>
        <v>0</v>
      </c>
      <c r="T144" s="37">
        <f t="shared" si="6"/>
        <v>0</v>
      </c>
      <c r="U144" s="37">
        <f>$U$139-$C$53*(1-SIN(RADIANS(M144)))</f>
        <v>0</v>
      </c>
      <c r="V144" s="35"/>
      <c r="W144" s="35"/>
      <c r="X144" s="35"/>
      <c r="Y144" s="35"/>
      <c r="Z144" s="35"/>
    </row>
    <row r="145" spans="1:26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8"/>
      <c r="S145" s="38"/>
      <c r="T145" s="38"/>
      <c r="U145" s="38"/>
      <c r="V145" s="35"/>
      <c r="W145" s="35"/>
      <c r="X145" s="35"/>
      <c r="Y145" s="35"/>
      <c r="Z145" s="35"/>
    </row>
    <row r="146" spans="1:26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6" t="s">
        <v>73</v>
      </c>
      <c r="N146" s="36"/>
      <c r="O146" s="36"/>
      <c r="P146" s="36"/>
      <c r="Q146" s="36"/>
      <c r="R146" s="35"/>
      <c r="S146" s="35"/>
      <c r="T146" s="35"/>
      <c r="U146" s="38"/>
      <c r="V146" s="35"/>
      <c r="W146" s="35"/>
      <c r="X146" s="35"/>
      <c r="Y146" s="35"/>
      <c r="Z146" s="35"/>
    </row>
    <row r="147" spans="1:26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6" t="s">
        <v>6</v>
      </c>
      <c r="N147" s="36" t="s">
        <v>68</v>
      </c>
      <c r="O147" s="36" t="s">
        <v>69</v>
      </c>
      <c r="P147" s="36" t="s">
        <v>70</v>
      </c>
      <c r="Q147" s="36" t="s">
        <v>71</v>
      </c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6">
        <v>0</v>
      </c>
      <c r="N148" s="36" t="e">
        <f>D77-C79</f>
        <v>#VALUE!</v>
      </c>
      <c r="O148" s="36" t="e">
        <f>C77</f>
        <v>#VALUE!</v>
      </c>
      <c r="P148" s="36" t="e">
        <f>D78-C80</f>
        <v>#VALUE!</v>
      </c>
      <c r="Q148" s="36" t="e">
        <f>C78</f>
        <v>#VALUE!</v>
      </c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6">
        <f>M148+9</f>
        <v>9</v>
      </c>
      <c r="N149" s="36" t="e">
        <f t="shared" ref="N149:N158" si="9">$N$148+($C$79-$C$79*COS(RADIANS(M149)))</f>
        <v>#VALUE!</v>
      </c>
      <c r="O149" s="36" t="e">
        <f t="shared" ref="O149:O158" si="10">$O$148-SQRT($C$79^2-($D$77-N149)^2)</f>
        <v>#VALUE!</v>
      </c>
      <c r="P149" s="36" t="e">
        <f t="shared" ref="P149:P158" si="11">$P$148+($C$80-$C$80*COS(RADIANS(M149)))</f>
        <v>#VALUE!</v>
      </c>
      <c r="Q149" s="36" t="e">
        <f t="shared" ref="Q149:Q158" si="12">$Q$148-SQRT($C$80^2-($D$78-P149)^2)</f>
        <v>#VALUE!</v>
      </c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6">
        <f t="shared" ref="M150:M158" si="13">M149+9</f>
        <v>18</v>
      </c>
      <c r="N150" s="36" t="e">
        <f t="shared" si="9"/>
        <v>#VALUE!</v>
      </c>
      <c r="O150" s="36" t="e">
        <f t="shared" si="10"/>
        <v>#VALUE!</v>
      </c>
      <c r="P150" s="36" t="e">
        <f t="shared" si="11"/>
        <v>#VALUE!</v>
      </c>
      <c r="Q150" s="36" t="e">
        <f t="shared" si="12"/>
        <v>#VALUE!</v>
      </c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6">
        <f t="shared" si="13"/>
        <v>27</v>
      </c>
      <c r="N151" s="36" t="e">
        <f t="shared" si="9"/>
        <v>#VALUE!</v>
      </c>
      <c r="O151" s="36" t="e">
        <f t="shared" si="10"/>
        <v>#VALUE!</v>
      </c>
      <c r="P151" s="36" t="e">
        <f t="shared" si="11"/>
        <v>#VALUE!</v>
      </c>
      <c r="Q151" s="36" t="e">
        <f t="shared" si="12"/>
        <v>#VALUE!</v>
      </c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6">
        <f t="shared" si="13"/>
        <v>36</v>
      </c>
      <c r="N152" s="36" t="e">
        <f t="shared" si="9"/>
        <v>#VALUE!</v>
      </c>
      <c r="O152" s="36" t="e">
        <f t="shared" si="10"/>
        <v>#VALUE!</v>
      </c>
      <c r="P152" s="36" t="e">
        <f t="shared" si="11"/>
        <v>#VALUE!</v>
      </c>
      <c r="Q152" s="36" t="e">
        <f t="shared" si="12"/>
        <v>#VALUE!</v>
      </c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6">
        <f t="shared" si="13"/>
        <v>45</v>
      </c>
      <c r="N153" s="36" t="e">
        <f t="shared" si="9"/>
        <v>#VALUE!</v>
      </c>
      <c r="O153" s="36" t="e">
        <f t="shared" si="10"/>
        <v>#VALUE!</v>
      </c>
      <c r="P153" s="36" t="e">
        <f t="shared" si="11"/>
        <v>#VALUE!</v>
      </c>
      <c r="Q153" s="36" t="e">
        <f t="shared" si="12"/>
        <v>#VALUE!</v>
      </c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6">
        <f t="shared" si="13"/>
        <v>54</v>
      </c>
      <c r="N154" s="36" t="e">
        <f t="shared" si="9"/>
        <v>#VALUE!</v>
      </c>
      <c r="O154" s="36" t="e">
        <f t="shared" si="10"/>
        <v>#VALUE!</v>
      </c>
      <c r="P154" s="36" t="e">
        <f t="shared" si="11"/>
        <v>#VALUE!</v>
      </c>
      <c r="Q154" s="36" t="e">
        <f t="shared" si="12"/>
        <v>#VALUE!</v>
      </c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6">
        <f t="shared" si="13"/>
        <v>63</v>
      </c>
      <c r="N155" s="36" t="e">
        <f t="shared" si="9"/>
        <v>#VALUE!</v>
      </c>
      <c r="O155" s="36" t="e">
        <f t="shared" si="10"/>
        <v>#VALUE!</v>
      </c>
      <c r="P155" s="36" t="e">
        <f t="shared" si="11"/>
        <v>#VALUE!</v>
      </c>
      <c r="Q155" s="36" t="e">
        <f t="shared" si="12"/>
        <v>#VALUE!</v>
      </c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6">
        <f t="shared" si="13"/>
        <v>72</v>
      </c>
      <c r="N156" s="36" t="e">
        <f t="shared" si="9"/>
        <v>#VALUE!</v>
      </c>
      <c r="O156" s="36" t="e">
        <f t="shared" si="10"/>
        <v>#VALUE!</v>
      </c>
      <c r="P156" s="36" t="e">
        <f t="shared" si="11"/>
        <v>#VALUE!</v>
      </c>
      <c r="Q156" s="36" t="e">
        <f t="shared" si="12"/>
        <v>#VALUE!</v>
      </c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6">
        <f t="shared" si="13"/>
        <v>81</v>
      </c>
      <c r="N157" s="36" t="e">
        <f t="shared" si="9"/>
        <v>#VALUE!</v>
      </c>
      <c r="O157" s="36" t="e">
        <f t="shared" si="10"/>
        <v>#VALUE!</v>
      </c>
      <c r="P157" s="36" t="e">
        <f t="shared" si="11"/>
        <v>#VALUE!</v>
      </c>
      <c r="Q157" s="36" t="e">
        <f t="shared" si="12"/>
        <v>#VALUE!</v>
      </c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6">
        <f t="shared" si="13"/>
        <v>90</v>
      </c>
      <c r="N158" s="36" t="e">
        <f t="shared" si="9"/>
        <v>#VALUE!</v>
      </c>
      <c r="O158" s="36" t="e">
        <f t="shared" si="10"/>
        <v>#VALUE!</v>
      </c>
      <c r="P158" s="36" t="e">
        <f t="shared" si="11"/>
        <v>#VALUE!</v>
      </c>
      <c r="Q158" s="36" t="e">
        <f t="shared" si="12"/>
        <v>#VALUE!</v>
      </c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</sheetData>
  <sheetProtection sheet="1" objects="1" scenarios="1"/>
  <mergeCells count="3">
    <mergeCell ref="B11:E11"/>
    <mergeCell ref="B31:E31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39"/>
  <sheetViews>
    <sheetView topLeftCell="A10" zoomScaleNormal="100" workbookViewId="0">
      <selection activeCell="C63" sqref="C63:E67"/>
    </sheetView>
  </sheetViews>
  <sheetFormatPr defaultRowHeight="15"/>
  <cols>
    <col min="1" max="1" width="3.140625" customWidth="1"/>
    <col min="2" max="2" width="70" customWidth="1"/>
    <col min="3" max="5" width="11.42578125" customWidth="1"/>
    <col min="6" max="6" width="4.85546875" customWidth="1"/>
    <col min="8" max="8" width="16.7109375" bestFit="1" customWidth="1"/>
    <col min="11" max="11" width="12" customWidth="1"/>
    <col min="12" max="12" width="10.7109375" customWidth="1"/>
    <col min="13" max="13" width="11.42578125" customWidth="1"/>
    <col min="14" max="14" width="8.28515625" customWidth="1"/>
    <col min="15" max="15" width="10.140625" customWidth="1"/>
    <col min="16" max="16" width="10" customWidth="1"/>
    <col min="18" max="18" width="13.140625" customWidth="1"/>
    <col min="19" max="19" width="9.7109375" customWidth="1"/>
  </cols>
  <sheetData>
    <row r="1" spans="1:26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4"/>
      <c r="W1" s="4"/>
      <c r="X1" s="4"/>
      <c r="Y1" s="4"/>
      <c r="Z1" s="4"/>
    </row>
    <row r="2" spans="1:2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4"/>
      <c r="W2" s="4"/>
      <c r="X2" s="4"/>
      <c r="Y2" s="4"/>
      <c r="Z2" s="4"/>
    </row>
    <row r="3" spans="1:2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"/>
      <c r="W3" s="4"/>
      <c r="X3" s="4"/>
      <c r="Y3" s="4"/>
      <c r="Z3" s="4"/>
    </row>
    <row r="4" spans="1:2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4"/>
      <c r="W4" s="4"/>
      <c r="X4" s="4"/>
      <c r="Y4" s="4"/>
      <c r="Z4" s="4"/>
    </row>
    <row r="5" spans="1:2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4"/>
      <c r="W5" s="4"/>
      <c r="X5" s="4"/>
      <c r="Y5" s="4"/>
      <c r="Z5" s="4"/>
    </row>
    <row r="6" spans="1:2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4"/>
      <c r="W6" s="4"/>
      <c r="X6" s="4"/>
      <c r="Y6" s="4"/>
      <c r="Z6" s="4"/>
    </row>
    <row r="7" spans="1:2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4"/>
      <c r="W7" s="4"/>
      <c r="X7" s="4"/>
      <c r="Y7" s="4"/>
      <c r="Z7" s="4"/>
    </row>
    <row r="8" spans="1:2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4"/>
      <c r="W8" s="4"/>
      <c r="X8" s="4"/>
      <c r="Y8" s="4"/>
      <c r="Z8" s="4"/>
    </row>
    <row r="9" spans="1:2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4"/>
      <c r="W9" s="4"/>
      <c r="X9" s="4"/>
      <c r="Y9" s="4"/>
      <c r="Z9" s="4"/>
    </row>
    <row r="10" spans="1:26" ht="15.75" thickBo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4"/>
      <c r="W10" s="4"/>
      <c r="X10" s="4"/>
      <c r="Y10" s="4"/>
      <c r="Z10" s="4"/>
    </row>
    <row r="11" spans="1:26" ht="18.75">
      <c r="A11" s="8"/>
      <c r="B11" s="39" t="s">
        <v>8</v>
      </c>
      <c r="C11" s="39"/>
      <c r="D11" s="39"/>
      <c r="E11" s="39"/>
      <c r="F11" s="9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4"/>
      <c r="W11" s="4"/>
      <c r="X11" s="4"/>
      <c r="Y11" s="4"/>
      <c r="Z11" s="4"/>
    </row>
    <row r="12" spans="1:26" ht="15.75">
      <c r="A12" s="10"/>
      <c r="B12" s="11"/>
      <c r="C12" s="12" t="s">
        <v>0</v>
      </c>
      <c r="D12" s="12" t="s">
        <v>1</v>
      </c>
      <c r="E12" s="12" t="s">
        <v>2</v>
      </c>
      <c r="F12" s="1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4"/>
      <c r="W12" s="4"/>
      <c r="X12" s="4"/>
      <c r="Y12" s="4"/>
      <c r="Z12" s="4"/>
    </row>
    <row r="13" spans="1:26" ht="15.75">
      <c r="A13" s="10"/>
      <c r="B13" s="14" t="s">
        <v>9</v>
      </c>
      <c r="C13" s="2">
        <v>98.880791120606133</v>
      </c>
      <c r="D13" s="2">
        <v>194.72847020776055</v>
      </c>
      <c r="E13" s="2">
        <v>149.6900253002878</v>
      </c>
      <c r="F13" s="13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4"/>
      <c r="W13" s="4"/>
      <c r="X13" s="4"/>
      <c r="Y13" s="4"/>
      <c r="Z13" s="4"/>
    </row>
    <row r="14" spans="1:26" ht="15.75">
      <c r="A14" s="10"/>
      <c r="B14" s="14" t="s">
        <v>10</v>
      </c>
      <c r="C14" s="2">
        <v>325.85394664815129</v>
      </c>
      <c r="D14" s="2">
        <v>192.34397181493568</v>
      </c>
      <c r="E14" s="2">
        <v>3.6466207835807225</v>
      </c>
      <c r="F14" s="1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4"/>
      <c r="W14" s="4"/>
      <c r="X14" s="4"/>
      <c r="Y14" s="4"/>
      <c r="Z14" s="4"/>
    </row>
    <row r="15" spans="1:26" ht="15.75">
      <c r="A15" s="10"/>
      <c r="B15" s="14" t="s">
        <v>3</v>
      </c>
      <c r="C15" s="5">
        <f>AVERAGE(C13:C14)</f>
        <v>212.36736888437872</v>
      </c>
      <c r="D15" s="11"/>
      <c r="E15" s="6">
        <f>AVERAGE(E13:E14)</f>
        <v>76.668323041934258</v>
      </c>
      <c r="F15" s="1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4"/>
      <c r="W15" s="4"/>
      <c r="X15" s="4"/>
      <c r="Y15" s="4"/>
      <c r="Z15" s="4"/>
    </row>
    <row r="16" spans="1:26" ht="15.75">
      <c r="A16" s="10"/>
      <c r="B16" s="14" t="s">
        <v>4</v>
      </c>
      <c r="C16" s="5">
        <f>-1/((E14-E13)/(C14-C13))</f>
        <v>1.5541486195741203</v>
      </c>
      <c r="D16" s="11"/>
      <c r="E16" s="11"/>
      <c r="F16" s="1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4"/>
      <c r="W16" s="4"/>
      <c r="X16" s="4"/>
      <c r="Y16" s="4"/>
      <c r="Z16" s="4"/>
    </row>
    <row r="17" spans="1:26" ht="15.75">
      <c r="A17" s="10"/>
      <c r="B17" s="14" t="s">
        <v>5</v>
      </c>
      <c r="C17" s="5">
        <f>E15-C16*C15</f>
        <v>-253.38213015231091</v>
      </c>
      <c r="D17" s="11"/>
      <c r="E17" s="11"/>
      <c r="F17" s="1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4"/>
      <c r="W17" s="4"/>
      <c r="X17" s="4"/>
      <c r="Y17" s="4"/>
      <c r="Z17" s="4"/>
    </row>
    <row r="18" spans="1:26">
      <c r="A18" s="10"/>
      <c r="B18" s="11"/>
      <c r="C18" s="11"/>
      <c r="D18" s="11"/>
      <c r="E18" s="11"/>
      <c r="F18" s="1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4"/>
      <c r="W18" s="4"/>
      <c r="X18" s="4"/>
      <c r="Y18" s="4"/>
      <c r="Z18" s="4"/>
    </row>
    <row r="19" spans="1:26" ht="15.75">
      <c r="A19" s="10"/>
      <c r="B19" s="14" t="s">
        <v>11</v>
      </c>
      <c r="C19" s="2">
        <v>-113.47953033302151</v>
      </c>
      <c r="D19" s="2">
        <v>205.470628933196</v>
      </c>
      <c r="E19" s="2">
        <v>-133.22965475523011</v>
      </c>
      <c r="F19" s="1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4"/>
      <c r="W19" s="4"/>
      <c r="X19" s="4"/>
      <c r="Y19" s="4"/>
      <c r="Z19" s="4"/>
    </row>
    <row r="20" spans="1:26" ht="15.75">
      <c r="A20" s="10"/>
      <c r="B20" s="14" t="s">
        <v>12</v>
      </c>
      <c r="C20" s="2">
        <v>-10.70726658247311</v>
      </c>
      <c r="D20" s="2">
        <v>204.91040051438682</v>
      </c>
      <c r="E20" s="2">
        <v>-104.68179575396582</v>
      </c>
      <c r="F20" s="1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4"/>
      <c r="W20" s="4"/>
      <c r="X20" s="4"/>
      <c r="Y20" s="4"/>
      <c r="Z20" s="4"/>
    </row>
    <row r="21" spans="1:26" ht="15.75">
      <c r="A21" s="10"/>
      <c r="B21" s="14" t="s">
        <v>3</v>
      </c>
      <c r="C21" s="6">
        <f>AVERAGE(C19:C20)</f>
        <v>-62.093398457747313</v>
      </c>
      <c r="D21" s="11"/>
      <c r="E21" s="6">
        <f>AVERAGE(E19:E20)</f>
        <v>-118.95572525459797</v>
      </c>
      <c r="F21" s="15"/>
      <c r="G21" s="16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4"/>
      <c r="W21" s="4"/>
      <c r="X21" s="4"/>
      <c r="Y21" s="4"/>
      <c r="Z21" s="4"/>
    </row>
    <row r="22" spans="1:26" ht="15.75">
      <c r="A22" s="10"/>
      <c r="B22" s="14" t="s">
        <v>4</v>
      </c>
      <c r="C22" s="6">
        <f>-1/((E20-E19)/(C20-C19))</f>
        <v>-3.5999989962818901</v>
      </c>
      <c r="D22" s="11"/>
      <c r="E22" s="11"/>
      <c r="F22" s="13"/>
      <c r="G22" s="16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4"/>
      <c r="W22" s="4"/>
      <c r="X22" s="4"/>
      <c r="Y22" s="4"/>
      <c r="Z22" s="4"/>
    </row>
    <row r="23" spans="1:26" ht="15.75">
      <c r="A23" s="10"/>
      <c r="B23" s="14" t="s">
        <v>5</v>
      </c>
      <c r="C23" s="6">
        <f>E21-C22*C21</f>
        <v>-342.49189737821973</v>
      </c>
      <c r="D23" s="11"/>
      <c r="E23" s="11"/>
      <c r="F23" s="1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4"/>
      <c r="W23" s="4"/>
      <c r="X23" s="4"/>
      <c r="Y23" s="4"/>
      <c r="Z23" s="4"/>
    </row>
    <row r="24" spans="1:26">
      <c r="A24" s="10"/>
      <c r="B24" s="17"/>
      <c r="C24" s="11"/>
      <c r="D24" s="11"/>
      <c r="E24" s="11"/>
      <c r="F24" s="1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4"/>
      <c r="W24" s="4"/>
      <c r="X24" s="4"/>
      <c r="Y24" s="4"/>
      <c r="Z24" s="4"/>
    </row>
    <row r="25" spans="1:26" ht="15.75">
      <c r="A25" s="10"/>
      <c r="B25" s="18" t="s">
        <v>13</v>
      </c>
      <c r="C25" s="5">
        <f>(C23-C17)/(C16-C22)</f>
        <v>-17.288943559120263</v>
      </c>
      <c r="D25" s="11"/>
      <c r="E25" s="6">
        <f>C16*C25+C17</f>
        <v>-280.25171791861254</v>
      </c>
      <c r="F25" s="1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4"/>
      <c r="W25" s="4"/>
      <c r="X25" s="4"/>
      <c r="Y25" s="4"/>
      <c r="Z25" s="4"/>
    </row>
    <row r="26" spans="1:26">
      <c r="A26" s="10"/>
      <c r="B26" s="19"/>
      <c r="C26" s="20"/>
      <c r="D26" s="11"/>
      <c r="E26" s="20"/>
      <c r="F26" s="1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4"/>
      <c r="W26" s="4"/>
      <c r="X26" s="4"/>
      <c r="Y26" s="4"/>
      <c r="Z26" s="4"/>
    </row>
    <row r="27" spans="1:26" ht="15.75">
      <c r="A27" s="10"/>
      <c r="B27" s="14" t="s">
        <v>74</v>
      </c>
      <c r="C27" s="1">
        <v>0</v>
      </c>
      <c r="D27" s="11"/>
      <c r="E27" s="1">
        <v>0</v>
      </c>
      <c r="F27" s="1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4"/>
      <c r="W27" s="4"/>
      <c r="X27" s="4"/>
      <c r="Y27" s="4"/>
      <c r="Z27" s="4"/>
    </row>
    <row r="28" spans="1:26" ht="15.75">
      <c r="A28" s="10"/>
      <c r="B28" s="18" t="s">
        <v>14</v>
      </c>
      <c r="C28" s="5">
        <f>C25+C27</f>
        <v>-17.288943559120263</v>
      </c>
      <c r="D28" s="21"/>
      <c r="E28" s="6">
        <f>E25+E27</f>
        <v>-280.25171791861254</v>
      </c>
      <c r="F28" s="1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4"/>
      <c r="W28" s="4"/>
      <c r="X28" s="4"/>
      <c r="Y28" s="4"/>
      <c r="Z28" s="4"/>
    </row>
    <row r="29" spans="1:26" ht="15.75" thickBot="1">
      <c r="A29" s="22"/>
      <c r="B29" s="23"/>
      <c r="C29" s="23"/>
      <c r="D29" s="23"/>
      <c r="E29" s="23"/>
      <c r="F29" s="24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4"/>
      <c r="W29" s="4"/>
      <c r="X29" s="4"/>
      <c r="Y29" s="4"/>
      <c r="Z29" s="4"/>
    </row>
    <row r="30" spans="1:26" ht="15.75" thickBo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4"/>
      <c r="W30" s="4"/>
      <c r="X30" s="4"/>
      <c r="Y30" s="4"/>
      <c r="Z30" s="4"/>
    </row>
    <row r="31" spans="1:26" ht="18.75">
      <c r="A31" s="8"/>
      <c r="B31" s="39" t="s">
        <v>67</v>
      </c>
      <c r="C31" s="39"/>
      <c r="D31" s="39"/>
      <c r="E31" s="39"/>
      <c r="F31" s="9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4"/>
      <c r="W31" s="4"/>
      <c r="X31" s="4"/>
      <c r="Y31" s="4"/>
      <c r="Z31" s="4"/>
    </row>
    <row r="32" spans="1:26" ht="18.75">
      <c r="A32" s="10"/>
      <c r="B32" s="25"/>
      <c r="C32" s="12" t="s">
        <v>0</v>
      </c>
      <c r="D32" s="12" t="s">
        <v>1</v>
      </c>
      <c r="E32" s="12" t="s">
        <v>2</v>
      </c>
      <c r="F32" s="13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4"/>
      <c r="W32" s="4"/>
      <c r="X32" s="4"/>
      <c r="Y32" s="4"/>
      <c r="Z32" s="4"/>
    </row>
    <row r="33" spans="1:26" ht="15.75">
      <c r="A33" s="10"/>
      <c r="B33" s="14" t="s">
        <v>15</v>
      </c>
      <c r="C33" s="2">
        <v>189.32800245790878</v>
      </c>
      <c r="D33" s="2">
        <v>405.61684957308717</v>
      </c>
      <c r="E33" s="2">
        <v>280.48416674292918</v>
      </c>
      <c r="F33" s="13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4"/>
      <c r="W33" s="4"/>
      <c r="X33" s="4"/>
      <c r="Y33" s="4"/>
      <c r="Z33" s="4"/>
    </row>
    <row r="34" spans="1:26" ht="15.75">
      <c r="A34" s="10"/>
      <c r="B34" s="14" t="s">
        <v>16</v>
      </c>
      <c r="C34" s="2">
        <v>1193.7560394201387</v>
      </c>
      <c r="D34" s="2">
        <v>328.81092648166327</v>
      </c>
      <c r="E34" s="2">
        <v>268.70845968308646</v>
      </c>
      <c r="F34" s="13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4"/>
      <c r="W34" s="4"/>
      <c r="X34" s="4"/>
      <c r="Y34" s="4"/>
      <c r="Z34" s="4"/>
    </row>
    <row r="35" spans="1:26" ht="15.75">
      <c r="A35" s="10"/>
      <c r="B35" s="14" t="s">
        <v>17</v>
      </c>
      <c r="C35" s="2">
        <v>171.98593613082994</v>
      </c>
      <c r="D35" s="2">
        <v>570.11527738443874</v>
      </c>
      <c r="E35" s="2">
        <v>259.39821511446405</v>
      </c>
      <c r="F35" s="1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4"/>
      <c r="W35" s="4"/>
      <c r="X35" s="4"/>
      <c r="Y35" s="4"/>
      <c r="Z35" s="4"/>
    </row>
    <row r="36" spans="1:26" ht="15.75">
      <c r="A36" s="10"/>
      <c r="B36" s="14" t="s">
        <v>18</v>
      </c>
      <c r="C36" s="2">
        <v>1193.1547675280976</v>
      </c>
      <c r="D36" s="2">
        <v>459.66100513983827</v>
      </c>
      <c r="E36" s="2">
        <v>266.31809777988104</v>
      </c>
      <c r="F36" s="1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4"/>
      <c r="W36" s="4"/>
      <c r="X36" s="4"/>
      <c r="Y36" s="4"/>
      <c r="Z36" s="4"/>
    </row>
    <row r="37" spans="1:26" ht="15.75">
      <c r="A37" s="10"/>
      <c r="B37" s="26" t="s">
        <v>22</v>
      </c>
      <c r="C37" s="3">
        <v>36</v>
      </c>
      <c r="D37" s="11"/>
      <c r="E37" s="11"/>
      <c r="F37" s="1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4"/>
      <c r="W37" s="4"/>
      <c r="X37" s="4"/>
      <c r="Y37" s="4"/>
      <c r="Z37" s="4"/>
    </row>
    <row r="38" spans="1:26" ht="15.75">
      <c r="A38" s="10"/>
      <c r="B38" s="26" t="s">
        <v>29</v>
      </c>
      <c r="C38" s="3">
        <v>31</v>
      </c>
      <c r="D38" s="11"/>
      <c r="E38" s="11"/>
      <c r="F38" s="13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4"/>
      <c r="W38" s="4"/>
      <c r="X38" s="4"/>
      <c r="Y38" s="4"/>
      <c r="Z38" s="4"/>
    </row>
    <row r="39" spans="1:26">
      <c r="A39" s="10"/>
      <c r="B39" s="11"/>
      <c r="C39" s="11"/>
      <c r="D39" s="11"/>
      <c r="E39" s="11"/>
      <c r="F39" s="13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4"/>
      <c r="W39" s="4"/>
      <c r="X39" s="4"/>
      <c r="Y39" s="4"/>
      <c r="Z39" s="4"/>
    </row>
    <row r="40" spans="1:26" ht="15.75">
      <c r="A40" s="10"/>
      <c r="B40" s="14" t="s">
        <v>19</v>
      </c>
      <c r="C40" s="5">
        <f>SQRT((C33-C28)^2+(E33-E28)^2)</f>
        <v>597.59124385198766</v>
      </c>
      <c r="D40" s="11"/>
      <c r="E40" s="11"/>
      <c r="F40" s="13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4"/>
      <c r="W40" s="4"/>
      <c r="X40" s="4"/>
      <c r="Y40" s="4"/>
      <c r="Z40" s="4"/>
    </row>
    <row r="41" spans="1:26" ht="15.75">
      <c r="A41" s="10"/>
      <c r="B41" s="26" t="s">
        <v>21</v>
      </c>
      <c r="C41" s="6">
        <f>((C33-C34)^2+(D33-D34)^2+(E33-E34)^2)^0.5</f>
        <v>1007.4291531092813</v>
      </c>
      <c r="D41" s="11"/>
      <c r="E41" s="11"/>
      <c r="F41" s="13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4"/>
      <c r="W41" s="4"/>
      <c r="X41" s="4"/>
      <c r="Y41" s="4"/>
      <c r="Z41" s="4"/>
    </row>
    <row r="42" spans="1:26" ht="15.75">
      <c r="A42" s="10"/>
      <c r="B42" s="26" t="s">
        <v>23</v>
      </c>
      <c r="C42" s="6">
        <f>C37+C41</f>
        <v>1043.4291531092813</v>
      </c>
      <c r="D42" s="11"/>
      <c r="E42" s="11"/>
      <c r="F42" s="13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4"/>
      <c r="W42" s="4"/>
      <c r="X42" s="4"/>
      <c r="Y42" s="4"/>
      <c r="Z42" s="4"/>
    </row>
    <row r="43" spans="1:26" ht="15.75">
      <c r="A43" s="10"/>
      <c r="B43" s="26" t="s">
        <v>33</v>
      </c>
      <c r="C43" s="6">
        <f>SQRT(C42^2-(D33-D34)^2)</f>
        <v>1040.5985045811024</v>
      </c>
      <c r="D43" s="27"/>
      <c r="E43" s="27"/>
      <c r="F43" s="15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4"/>
      <c r="W43" s="4"/>
      <c r="X43" s="4"/>
      <c r="Y43" s="4"/>
      <c r="Z43" s="4"/>
    </row>
    <row r="44" spans="1:26" ht="15.75">
      <c r="A44" s="10"/>
      <c r="B44" s="26" t="s">
        <v>24</v>
      </c>
      <c r="C44" s="6">
        <f>SQRT((C34-C28)^2+(E34-E28)^2)</f>
        <v>1329.6568081244584</v>
      </c>
      <c r="D44" s="27"/>
      <c r="E44" s="27"/>
      <c r="F44" s="15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4"/>
      <c r="W44" s="4"/>
      <c r="X44" s="4"/>
      <c r="Y44" s="4"/>
      <c r="Z44" s="4"/>
    </row>
    <row r="45" spans="1:26" ht="15.75">
      <c r="A45" s="10"/>
      <c r="B45" s="26" t="s">
        <v>36</v>
      </c>
      <c r="C45" s="6">
        <f>ABS((C40^2-C43^2+C44^2)/(2*C44))</f>
        <v>391.92717549952363</v>
      </c>
      <c r="D45" s="27"/>
      <c r="E45" s="27"/>
      <c r="F45" s="15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4"/>
      <c r="W45" s="4"/>
      <c r="X45" s="4"/>
      <c r="Y45" s="4"/>
      <c r="Z45" s="4"/>
    </row>
    <row r="46" spans="1:26" ht="15.75">
      <c r="A46" s="10"/>
      <c r="B46" s="26" t="s">
        <v>25</v>
      </c>
      <c r="C46" s="6">
        <f>C28+C45/SQRT(1+((E34-E28)/(C34-C28))^2)-SQRT((C40^2-C45^2)/(1+1/((E34-E28)/(C34-C28))^2))</f>
        <v>153.42808098775816</v>
      </c>
      <c r="D46" s="27"/>
      <c r="E46" s="6">
        <f>SQRT(C40^2-(C46-C28)^2)+E28</f>
        <v>292.43579919558675</v>
      </c>
      <c r="F46" s="15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4"/>
      <c r="W46" s="4"/>
      <c r="X46" s="4"/>
      <c r="Y46" s="4"/>
      <c r="Z46" s="4"/>
    </row>
    <row r="47" spans="1:26" ht="15.75">
      <c r="A47" s="10"/>
      <c r="B47" s="26" t="s">
        <v>26</v>
      </c>
      <c r="C47" s="6">
        <f>C46-C33</f>
        <v>-35.899921470150616</v>
      </c>
      <c r="D47" s="27"/>
      <c r="E47" s="6">
        <f>E46-E33</f>
        <v>11.951632452657577</v>
      </c>
      <c r="F47" s="1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4"/>
      <c r="W47" s="4"/>
      <c r="X47" s="4"/>
      <c r="Y47" s="4"/>
      <c r="Z47" s="4"/>
    </row>
    <row r="48" spans="1:26" ht="15.75">
      <c r="A48" s="10"/>
      <c r="B48" s="18" t="s">
        <v>27</v>
      </c>
      <c r="C48" s="28">
        <f>SIGN(C37)*DEGREES(ASIN(((C47^2+E47^2)^0.5/2)/C40))*2</f>
        <v>3.6283467230913495</v>
      </c>
      <c r="D48" s="11" t="s">
        <v>7</v>
      </c>
      <c r="E48" s="11"/>
      <c r="F48" s="13"/>
      <c r="G48" s="7"/>
      <c r="H48" s="11"/>
      <c r="I48" s="21"/>
      <c r="J48" s="21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4"/>
      <c r="W48" s="4"/>
      <c r="X48" s="4"/>
      <c r="Y48" s="4"/>
      <c r="Z48" s="4"/>
    </row>
    <row r="49" spans="1:26">
      <c r="A49" s="10"/>
      <c r="B49" s="11"/>
      <c r="C49" s="11"/>
      <c r="D49" s="11"/>
      <c r="E49" s="11"/>
      <c r="F49" s="13"/>
      <c r="G49" s="7"/>
      <c r="H49" s="11"/>
      <c r="I49" s="29"/>
      <c r="J49" s="2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4"/>
      <c r="W49" s="4"/>
      <c r="X49" s="4"/>
      <c r="Y49" s="4"/>
      <c r="Z49" s="4"/>
    </row>
    <row r="50" spans="1:26" ht="15.75">
      <c r="A50" s="10"/>
      <c r="B50" s="14" t="s">
        <v>20</v>
      </c>
      <c r="C50" s="5">
        <f>SQRT((C35-C28)^2+(E35-E28)^2)</f>
        <v>571.88025871177729</v>
      </c>
      <c r="D50" s="11"/>
      <c r="E50" s="11"/>
      <c r="F50" s="13"/>
      <c r="G50" s="7"/>
      <c r="H50" s="11"/>
      <c r="I50" s="27"/>
      <c r="J50" s="30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4"/>
      <c r="W50" s="4"/>
      <c r="X50" s="4"/>
      <c r="Y50" s="4"/>
      <c r="Z50" s="4"/>
    </row>
    <row r="51" spans="1:26" ht="15.75">
      <c r="A51" s="10"/>
      <c r="B51" s="26" t="s">
        <v>28</v>
      </c>
      <c r="C51" s="6">
        <f>((C35-C36)^2+(D35-D36)^2+(E35-E36)^2)^0.5</f>
        <v>1027.1483891096013</v>
      </c>
      <c r="D51" s="11"/>
      <c r="E51" s="11"/>
      <c r="F51" s="13"/>
      <c r="G51" s="7"/>
      <c r="H51" s="11"/>
      <c r="I51" s="11"/>
      <c r="J51" s="11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4"/>
      <c r="W51" s="4"/>
      <c r="X51" s="4"/>
      <c r="Y51" s="4"/>
      <c r="Z51" s="4"/>
    </row>
    <row r="52" spans="1:26" ht="15.75">
      <c r="A52" s="10"/>
      <c r="B52" s="26" t="s">
        <v>30</v>
      </c>
      <c r="C52" s="6">
        <f>C38+C51</f>
        <v>1058.1483891096013</v>
      </c>
      <c r="D52" s="11"/>
      <c r="E52" s="11"/>
      <c r="F52" s="13"/>
      <c r="G52" s="7"/>
      <c r="H52" s="11"/>
      <c r="I52" s="11"/>
      <c r="J52" s="11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4"/>
      <c r="W52" s="4"/>
      <c r="X52" s="4"/>
      <c r="Y52" s="4"/>
      <c r="Z52" s="4"/>
    </row>
    <row r="53" spans="1:26" ht="15.75">
      <c r="A53" s="10"/>
      <c r="B53" s="26" t="s">
        <v>32</v>
      </c>
      <c r="C53" s="6">
        <f>SQRT(C52^2-(D35-D36)^2)</f>
        <v>1052.3677432904146</v>
      </c>
      <c r="D53" s="11"/>
      <c r="E53" s="11"/>
      <c r="F53" s="13"/>
      <c r="G53" s="7"/>
      <c r="H53" s="11"/>
      <c r="I53" s="11"/>
      <c r="J53" s="11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4"/>
      <c r="W53" s="4"/>
      <c r="X53" s="4"/>
      <c r="Y53" s="4"/>
      <c r="Z53" s="4"/>
    </row>
    <row r="54" spans="1:26" ht="15.75">
      <c r="A54" s="10"/>
      <c r="B54" s="26" t="s">
        <v>31</v>
      </c>
      <c r="C54" s="6">
        <f>SQRT((C36-C28)^2+(E36-E28)^2)</f>
        <v>1328.1236919591795</v>
      </c>
      <c r="D54" s="11"/>
      <c r="E54" s="11"/>
      <c r="F54" s="13"/>
      <c r="G54" s="7"/>
      <c r="H54" s="11"/>
      <c r="I54" s="11"/>
      <c r="J54" s="11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4"/>
      <c r="W54" s="4"/>
      <c r="X54" s="4"/>
      <c r="Y54" s="4"/>
      <c r="Z54" s="4"/>
    </row>
    <row r="55" spans="1:26" ht="15.75">
      <c r="A55" s="10"/>
      <c r="B55" s="26" t="s">
        <v>36</v>
      </c>
      <c r="C55" s="6">
        <f>ABS((C50^2-C53^2+C54^2)/(2*C54))</f>
        <v>370.25230040079686</v>
      </c>
      <c r="D55" s="11"/>
      <c r="E55" s="11"/>
      <c r="F55" s="15"/>
      <c r="G55" s="7"/>
      <c r="H55" s="11"/>
      <c r="I55" s="11"/>
      <c r="J55" s="1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4"/>
      <c r="W55" s="4"/>
      <c r="X55" s="4"/>
      <c r="Y55" s="4"/>
      <c r="Z55" s="4"/>
    </row>
    <row r="56" spans="1:26" ht="15.75">
      <c r="A56" s="10"/>
      <c r="B56" s="26" t="s">
        <v>25</v>
      </c>
      <c r="C56" s="6">
        <f>C28+C55/SQRT(1+((E36-E28)/(C36-C28))^2)-SQRT((C50^2-C55^2)/(1+1/((E36-E28)/(C36-C28))^2))</f>
        <v>140.79138020345914</v>
      </c>
      <c r="D56" s="27"/>
      <c r="E56" s="6">
        <f>SQRT(C50^2-(C56-C28)^2)+E28</f>
        <v>269.34599090427497</v>
      </c>
      <c r="F56" s="13"/>
      <c r="G56" s="7"/>
      <c r="H56" s="11"/>
      <c r="I56" s="11"/>
      <c r="J56" s="11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4"/>
      <c r="W56" s="4"/>
      <c r="X56" s="4"/>
      <c r="Y56" s="4"/>
      <c r="Z56" s="4"/>
    </row>
    <row r="57" spans="1:26" ht="15.75">
      <c r="A57" s="10"/>
      <c r="B57" s="26" t="s">
        <v>34</v>
      </c>
      <c r="C57" s="6">
        <f>C56-C35</f>
        <v>-31.1945559273708</v>
      </c>
      <c r="D57" s="27"/>
      <c r="E57" s="6">
        <f>E56-E35</f>
        <v>9.9477757898109189</v>
      </c>
      <c r="F57" s="13"/>
      <c r="G57" s="7"/>
      <c r="H57" s="11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4"/>
      <c r="W57" s="4"/>
      <c r="X57" s="4"/>
      <c r="Y57" s="4"/>
      <c r="Z57" s="4"/>
    </row>
    <row r="58" spans="1:26" ht="15.75">
      <c r="A58" s="10"/>
      <c r="B58" s="18" t="s">
        <v>35</v>
      </c>
      <c r="C58" s="28">
        <f>SIGN(C38)*DEGREES(ASIN(((C57^2+E57^2)^0.5/2)/C50))*2</f>
        <v>3.2808480553193711</v>
      </c>
      <c r="D58" s="11" t="s">
        <v>7</v>
      </c>
      <c r="E58" s="11"/>
      <c r="F58" s="13"/>
      <c r="G58" s="7"/>
      <c r="H58" s="11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4"/>
      <c r="W58" s="4"/>
      <c r="X58" s="4"/>
      <c r="Y58" s="4"/>
      <c r="Z58" s="4"/>
    </row>
    <row r="59" spans="1:26" ht="15.75" thickBot="1">
      <c r="A59" s="22"/>
      <c r="B59" s="23"/>
      <c r="C59" s="23"/>
      <c r="D59" s="23"/>
      <c r="E59" s="23"/>
      <c r="F59" s="24"/>
      <c r="G59" s="7"/>
      <c r="H59" s="3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4"/>
      <c r="W59" s="4"/>
      <c r="X59" s="4"/>
      <c r="Y59" s="4"/>
      <c r="Z59" s="4"/>
    </row>
    <row r="60" spans="1:26" ht="15.75" thickBo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4"/>
      <c r="W60" s="4"/>
      <c r="X60" s="4"/>
      <c r="Y60" s="4"/>
      <c r="Z60" s="4"/>
    </row>
    <row r="61" spans="1:26" ht="18.75">
      <c r="A61" s="8"/>
      <c r="B61" s="39" t="s">
        <v>37</v>
      </c>
      <c r="C61" s="39"/>
      <c r="D61" s="39"/>
      <c r="E61" s="39"/>
      <c r="F61" s="9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4"/>
      <c r="W61" s="4"/>
      <c r="X61" s="4"/>
      <c r="Y61" s="4"/>
      <c r="Z61" s="4"/>
    </row>
    <row r="62" spans="1:26" ht="18.75">
      <c r="A62" s="10"/>
      <c r="B62" s="25"/>
      <c r="C62" s="12" t="s">
        <v>0</v>
      </c>
      <c r="D62" s="12" t="s">
        <v>1</v>
      </c>
      <c r="E62" s="12" t="s">
        <v>2</v>
      </c>
      <c r="F62" s="13"/>
      <c r="G62" s="7"/>
      <c r="H62" s="7"/>
      <c r="I62" s="27"/>
      <c r="J62" s="30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4"/>
      <c r="W62" s="4"/>
      <c r="X62" s="4"/>
      <c r="Y62" s="4"/>
      <c r="Z62" s="4"/>
    </row>
    <row r="63" spans="1:26" ht="15.75">
      <c r="A63" s="10"/>
      <c r="B63" s="14" t="s">
        <v>38</v>
      </c>
      <c r="C63" s="3">
        <v>34.736713435969008</v>
      </c>
      <c r="D63" s="2">
        <v>441.50586924887716</v>
      </c>
      <c r="E63" s="2">
        <v>297.51099383487002</v>
      </c>
      <c r="F63" s="13"/>
      <c r="G63" s="7"/>
      <c r="H63" s="7"/>
      <c r="I63" s="11"/>
      <c r="J63" s="11"/>
      <c r="K63" s="11"/>
      <c r="L63" s="16"/>
      <c r="M63" s="16"/>
      <c r="N63" s="7"/>
      <c r="O63" s="7"/>
      <c r="P63" s="7"/>
      <c r="Q63" s="7"/>
      <c r="R63" s="7"/>
      <c r="S63" s="7"/>
      <c r="T63" s="7"/>
      <c r="U63" s="7"/>
      <c r="V63" s="4"/>
      <c r="W63" s="4"/>
      <c r="X63" s="4"/>
      <c r="Y63" s="4"/>
      <c r="Z63" s="4"/>
    </row>
    <row r="64" spans="1:26" ht="15.75">
      <c r="A64" s="10"/>
      <c r="B64" s="14" t="s">
        <v>39</v>
      </c>
      <c r="C64" s="3">
        <v>101.35111226474808</v>
      </c>
      <c r="D64" s="2">
        <v>442.0585526119811</v>
      </c>
      <c r="E64" s="2">
        <v>305.61681705817387</v>
      </c>
      <c r="F64" s="13"/>
      <c r="G64" s="7"/>
      <c r="H64" s="7"/>
      <c r="I64" s="11"/>
      <c r="J64" s="11"/>
      <c r="K64" s="11"/>
      <c r="L64" s="16"/>
      <c r="M64" s="16"/>
      <c r="N64" s="7"/>
      <c r="O64" s="7"/>
      <c r="P64" s="7"/>
      <c r="Q64" s="7"/>
      <c r="R64" s="7"/>
      <c r="S64" s="7"/>
      <c r="T64" s="7"/>
      <c r="U64" s="7"/>
      <c r="V64" s="4"/>
      <c r="W64" s="4"/>
      <c r="X64" s="4"/>
      <c r="Y64" s="4"/>
      <c r="Z64" s="4"/>
    </row>
    <row r="65" spans="1:26" ht="15.75">
      <c r="A65" s="10"/>
      <c r="B65" s="14" t="s">
        <v>40</v>
      </c>
      <c r="C65" s="3">
        <v>94.232121455441373</v>
      </c>
      <c r="D65" s="2">
        <v>557.17904669911013</v>
      </c>
      <c r="E65" s="2">
        <v>304.52578859946277</v>
      </c>
      <c r="F65" s="13"/>
      <c r="G65" s="7"/>
      <c r="H65" s="7"/>
      <c r="I65" s="11"/>
      <c r="J65" s="11"/>
      <c r="K65" s="11"/>
      <c r="L65" s="16"/>
      <c r="M65" s="16"/>
      <c r="N65" s="7"/>
      <c r="O65" s="7"/>
      <c r="P65" s="7"/>
      <c r="Q65" s="7"/>
      <c r="R65" s="7"/>
      <c r="S65" s="7"/>
      <c r="T65" s="7"/>
      <c r="U65" s="7"/>
      <c r="V65" s="4"/>
      <c r="W65" s="4"/>
      <c r="X65" s="4"/>
      <c r="Y65" s="4"/>
      <c r="Z65" s="4"/>
    </row>
    <row r="66" spans="1:26" ht="15.75">
      <c r="A66" s="10"/>
      <c r="B66" s="14" t="s">
        <v>41</v>
      </c>
      <c r="C66" s="3">
        <v>298</v>
      </c>
      <c r="D66" s="32"/>
      <c r="E66" s="30"/>
      <c r="F66" s="13"/>
      <c r="G66" s="7"/>
      <c r="H66" s="7"/>
      <c r="I66" s="11"/>
      <c r="J66" s="11"/>
      <c r="K66" s="11"/>
      <c r="L66" s="16"/>
      <c r="M66" s="16"/>
      <c r="N66" s="7"/>
      <c r="O66" s="7"/>
      <c r="P66" s="7"/>
      <c r="Q66" s="7"/>
      <c r="R66" s="7"/>
      <c r="S66" s="7"/>
      <c r="T66" s="7"/>
      <c r="U66" s="7"/>
      <c r="V66" s="4"/>
      <c r="W66" s="4"/>
      <c r="X66" s="4"/>
      <c r="Y66" s="4"/>
      <c r="Z66" s="4"/>
    </row>
    <row r="67" spans="1:26" ht="15.75">
      <c r="A67" s="10"/>
      <c r="B67" s="14" t="s">
        <v>42</v>
      </c>
      <c r="C67" s="3">
        <v>277</v>
      </c>
      <c r="D67" s="32"/>
      <c r="E67" s="30"/>
      <c r="F67" s="13"/>
      <c r="G67" s="7"/>
      <c r="H67" s="7"/>
      <c r="I67" s="11"/>
      <c r="J67" s="11"/>
      <c r="K67" s="11"/>
      <c r="L67" s="16"/>
      <c r="M67" s="16"/>
      <c r="N67" s="7"/>
      <c r="O67" s="7"/>
      <c r="P67" s="7"/>
      <c r="Q67" s="7"/>
      <c r="R67" s="7"/>
      <c r="S67" s="7"/>
      <c r="T67" s="7"/>
      <c r="U67" s="7"/>
      <c r="V67" s="4"/>
      <c r="W67" s="4"/>
      <c r="X67" s="4"/>
      <c r="Y67" s="4"/>
      <c r="Z67" s="4"/>
    </row>
    <row r="68" spans="1:26">
      <c r="A68" s="10"/>
      <c r="B68" s="11"/>
      <c r="C68" s="11"/>
      <c r="D68" s="32"/>
      <c r="E68" s="30"/>
      <c r="F68" s="13"/>
      <c r="G68" s="7"/>
      <c r="H68" s="7"/>
      <c r="I68" s="11"/>
      <c r="J68" s="11"/>
      <c r="K68" s="11"/>
      <c r="L68" s="16"/>
      <c r="M68" s="16"/>
      <c r="N68" s="7"/>
      <c r="O68" s="7"/>
      <c r="P68" s="7"/>
      <c r="Q68" s="7"/>
      <c r="R68" s="7"/>
      <c r="S68" s="7"/>
      <c r="T68" s="7"/>
      <c r="U68" s="7"/>
      <c r="V68" s="4"/>
      <c r="W68" s="4"/>
      <c r="X68" s="4"/>
      <c r="Y68" s="4"/>
      <c r="Z68" s="4"/>
    </row>
    <row r="69" spans="1:26" ht="15.75">
      <c r="A69" s="10"/>
      <c r="B69" s="14" t="s">
        <v>43</v>
      </c>
      <c r="C69" s="5">
        <f>SQRT((C64-C28)^2+(E64-E28)^2)</f>
        <v>597.76032247192234</v>
      </c>
      <c r="D69" s="32"/>
      <c r="E69" s="30"/>
      <c r="F69" s="13"/>
      <c r="G69" s="7"/>
      <c r="H69" s="7"/>
      <c r="I69" s="11"/>
      <c r="J69" s="11"/>
      <c r="K69" s="11"/>
      <c r="L69" s="16"/>
      <c r="M69" s="16"/>
      <c r="N69" s="7"/>
      <c r="O69" s="7"/>
      <c r="P69" s="7"/>
      <c r="Q69" s="7"/>
      <c r="R69" s="7"/>
      <c r="S69" s="7"/>
      <c r="T69" s="7"/>
      <c r="U69" s="7"/>
      <c r="V69" s="4"/>
      <c r="W69" s="4"/>
      <c r="X69" s="4"/>
      <c r="Y69" s="4"/>
      <c r="Z69" s="4"/>
    </row>
    <row r="70" spans="1:26" ht="15.75">
      <c r="A70" s="10"/>
      <c r="B70" s="14" t="s">
        <v>44</v>
      </c>
      <c r="C70" s="5">
        <f>SQRT((C65-C28)^2+(E65-E28)^2)</f>
        <v>595.31645372144703</v>
      </c>
      <c r="D70" s="32"/>
      <c r="E70" s="30"/>
      <c r="F70" s="13"/>
      <c r="G70" s="7"/>
      <c r="H70" s="7"/>
      <c r="I70" s="11"/>
      <c r="J70" s="11"/>
      <c r="K70" s="11"/>
      <c r="L70" s="16"/>
      <c r="M70" s="16"/>
      <c r="N70" s="7"/>
      <c r="O70" s="7"/>
      <c r="P70" s="7"/>
      <c r="Q70" s="7"/>
      <c r="R70" s="7"/>
      <c r="S70" s="7"/>
      <c r="T70" s="7"/>
      <c r="U70" s="7"/>
      <c r="V70" s="4"/>
      <c r="W70" s="4"/>
      <c r="X70" s="4"/>
      <c r="Y70" s="4"/>
      <c r="Z70" s="4"/>
    </row>
    <row r="71" spans="1:26" ht="15.75">
      <c r="A71" s="10"/>
      <c r="B71" s="14" t="s">
        <v>45</v>
      </c>
      <c r="C71" s="28">
        <f>((C48-C58)/(D33-D35))*(D64-D33)+C48</f>
        <v>3.5513645693659641</v>
      </c>
      <c r="D71" s="11" t="s">
        <v>7</v>
      </c>
      <c r="E71" s="30"/>
      <c r="F71" s="13"/>
      <c r="G71" s="7"/>
      <c r="H71" s="7"/>
      <c r="I71" s="11"/>
      <c r="J71" s="11"/>
      <c r="K71" s="11"/>
      <c r="L71" s="16"/>
      <c r="M71" s="16"/>
      <c r="N71" s="7"/>
      <c r="O71" s="7"/>
      <c r="P71" s="7"/>
      <c r="Q71" s="7"/>
      <c r="R71" s="7"/>
      <c r="S71" s="7"/>
      <c r="T71" s="7"/>
      <c r="U71" s="7"/>
      <c r="V71" s="4"/>
      <c r="W71" s="4"/>
      <c r="X71" s="4"/>
      <c r="Y71" s="4"/>
      <c r="Z71" s="4"/>
    </row>
    <row r="72" spans="1:26" ht="15.75">
      <c r="A72" s="10"/>
      <c r="B72" s="14" t="s">
        <v>46</v>
      </c>
      <c r="C72" s="28">
        <f>((C48-C58)/(D33-D35))*(D65-D35)+C58</f>
        <v>3.3081755075567747</v>
      </c>
      <c r="D72" s="11" t="s">
        <v>7</v>
      </c>
      <c r="E72" s="30"/>
      <c r="F72" s="13"/>
      <c r="G72" s="7"/>
      <c r="H72" s="7"/>
      <c r="I72" s="11"/>
      <c r="J72" s="11"/>
      <c r="K72" s="11"/>
      <c r="L72" s="16"/>
      <c r="M72" s="16"/>
      <c r="N72" s="7"/>
      <c r="O72" s="7"/>
      <c r="P72" s="7"/>
      <c r="Q72" s="7"/>
      <c r="R72" s="7"/>
      <c r="S72" s="7"/>
      <c r="T72" s="7"/>
      <c r="U72" s="7"/>
      <c r="V72" s="4"/>
      <c r="W72" s="4"/>
      <c r="X72" s="4"/>
      <c r="Y72" s="4"/>
      <c r="Z72" s="4"/>
    </row>
    <row r="73" spans="1:26" ht="15.75">
      <c r="A73" s="10"/>
      <c r="B73" s="14" t="s">
        <v>47</v>
      </c>
      <c r="C73" s="5">
        <f>((C63-C64)^2+(D63-D64)^2+(E63-E64)^2)^0.5</f>
        <v>67.108032010683687</v>
      </c>
      <c r="D73" s="11"/>
      <c r="E73" s="11"/>
      <c r="F73" s="13"/>
      <c r="G73" s="7"/>
      <c r="H73" s="7"/>
      <c r="I73" s="11"/>
      <c r="J73" s="11"/>
      <c r="K73" s="11"/>
      <c r="L73" s="16"/>
      <c r="M73" s="16"/>
      <c r="N73" s="7"/>
      <c r="O73" s="7"/>
      <c r="P73" s="7"/>
      <c r="Q73" s="7"/>
      <c r="R73" s="7"/>
      <c r="S73" s="7"/>
      <c r="T73" s="7"/>
      <c r="U73" s="7"/>
      <c r="V73" s="4"/>
      <c r="W73" s="4"/>
      <c r="X73" s="4"/>
      <c r="Y73" s="4"/>
      <c r="Z73" s="4"/>
    </row>
    <row r="74" spans="1:26" ht="15.75">
      <c r="A74" s="10"/>
      <c r="B74" s="14" t="s">
        <v>51</v>
      </c>
      <c r="C74" s="5">
        <f>C66+C73</f>
        <v>365.1080320106837</v>
      </c>
      <c r="D74" s="11"/>
      <c r="E74" s="11"/>
      <c r="F74" s="13"/>
      <c r="G74" s="7"/>
      <c r="H74" s="11"/>
      <c r="I74" s="11"/>
      <c r="J74" s="11"/>
      <c r="K74" s="11"/>
      <c r="L74" s="16"/>
      <c r="M74" s="16"/>
      <c r="N74" s="7"/>
      <c r="O74" s="7"/>
      <c r="P74" s="7"/>
      <c r="Q74" s="7"/>
      <c r="R74" s="7"/>
      <c r="S74" s="7"/>
      <c r="T74" s="7"/>
      <c r="U74" s="7"/>
      <c r="V74" s="4"/>
      <c r="W74" s="4"/>
      <c r="X74" s="4"/>
      <c r="Y74" s="4"/>
      <c r="Z74" s="4"/>
    </row>
    <row r="75" spans="1:26" ht="15.75">
      <c r="A75" s="10"/>
      <c r="B75" s="14" t="s">
        <v>50</v>
      </c>
      <c r="C75" s="5">
        <f>((C63-C65)^2+(D63-D65)^2+(E63-E65)^2)^0.5</f>
        <v>130.26586238315065</v>
      </c>
      <c r="D75" s="11"/>
      <c r="E75" s="11"/>
      <c r="F75" s="13"/>
      <c r="G75" s="7"/>
      <c r="H75" s="11"/>
      <c r="I75" s="11"/>
      <c r="J75" s="11"/>
      <c r="K75" s="11"/>
      <c r="L75" s="7"/>
      <c r="M75" s="7"/>
      <c r="N75" s="7"/>
      <c r="O75" s="7"/>
      <c r="P75" s="7"/>
      <c r="Q75" s="7"/>
      <c r="R75" s="7"/>
      <c r="S75" s="7"/>
      <c r="T75" s="7"/>
      <c r="U75" s="7"/>
      <c r="V75" s="4"/>
      <c r="W75" s="4"/>
      <c r="X75" s="4"/>
      <c r="Y75" s="4"/>
      <c r="Z75" s="4"/>
    </row>
    <row r="76" spans="1:26" ht="15.75">
      <c r="A76" s="10"/>
      <c r="B76" s="14" t="s">
        <v>52</v>
      </c>
      <c r="C76" s="5">
        <f>C67+C75</f>
        <v>407.26586238315065</v>
      </c>
      <c r="D76" s="11"/>
      <c r="E76" s="11"/>
      <c r="F76" s="13"/>
      <c r="G76" s="7"/>
      <c r="H76" s="11"/>
      <c r="I76" s="11"/>
      <c r="J76" s="7"/>
      <c r="K76" s="11"/>
      <c r="L76" s="16"/>
      <c r="M76" s="16"/>
      <c r="N76" s="7"/>
      <c r="O76" s="7"/>
      <c r="P76" s="7"/>
      <c r="Q76" s="7"/>
      <c r="R76" s="7"/>
      <c r="S76" s="7"/>
      <c r="T76" s="7"/>
      <c r="U76" s="7"/>
      <c r="V76" s="4"/>
      <c r="W76" s="4"/>
      <c r="X76" s="4"/>
      <c r="Y76" s="4"/>
      <c r="Z76" s="4"/>
    </row>
    <row r="77" spans="1:26" ht="15.75">
      <c r="A77" s="10"/>
      <c r="B77" s="14" t="s">
        <v>48</v>
      </c>
      <c r="C77" s="5">
        <f>C28+C69*COS(ATAN((E64-E28)/(C64-C28))+RADIANS(C71))</f>
        <v>64.832639766631814</v>
      </c>
      <c r="D77" s="5">
        <f>D64</f>
        <v>442.0585526119811</v>
      </c>
      <c r="E77" s="5">
        <f>E28+SQRT(C69^2-(C28-C77)^2)</f>
        <v>311.84071462364528</v>
      </c>
      <c r="F77" s="13"/>
      <c r="G77" s="7"/>
      <c r="H77" s="11"/>
      <c r="I77" s="7"/>
      <c r="J77" s="7"/>
      <c r="K77" s="7"/>
      <c r="L77" s="16"/>
      <c r="M77" s="16"/>
      <c r="N77" s="7"/>
      <c r="O77" s="7"/>
      <c r="P77" s="7"/>
      <c r="Q77" s="7"/>
      <c r="R77" s="7"/>
      <c r="S77" s="7"/>
      <c r="T77" s="7"/>
      <c r="U77" s="7"/>
      <c r="V77" s="4"/>
      <c r="W77" s="4"/>
      <c r="X77" s="4"/>
      <c r="Y77" s="4"/>
      <c r="Z77" s="4"/>
    </row>
    <row r="78" spans="1:26" ht="15.75">
      <c r="A78" s="10"/>
      <c r="B78" s="14" t="s">
        <v>49</v>
      </c>
      <c r="C78" s="5">
        <f>C28+C70*COS(ATAN((E65-E28)/(C65-C28))+RADIANS(C72))</f>
        <v>60.300830864290567</v>
      </c>
      <c r="D78" s="5">
        <f>D65</f>
        <v>557.17904669911013</v>
      </c>
      <c r="E78" s="5">
        <f>E28+SQRT(C70^2-(C28-C78)^2)</f>
        <v>309.98679910345032</v>
      </c>
      <c r="F78" s="13"/>
      <c r="G78" s="7"/>
      <c r="H78" s="11"/>
      <c r="I78" s="7"/>
      <c r="J78" s="7"/>
      <c r="K78" s="7"/>
      <c r="L78" s="16"/>
      <c r="M78" s="16"/>
      <c r="N78" s="7"/>
      <c r="O78" s="7"/>
      <c r="P78" s="7"/>
      <c r="Q78" s="7"/>
      <c r="R78" s="7"/>
      <c r="S78" s="7"/>
      <c r="T78" s="7"/>
      <c r="U78" s="7"/>
      <c r="V78" s="4"/>
      <c r="W78" s="4"/>
      <c r="X78" s="4"/>
      <c r="Y78" s="4"/>
      <c r="Z78" s="4"/>
    </row>
    <row r="79" spans="1:26" ht="15.75">
      <c r="A79" s="10"/>
      <c r="B79" s="14" t="s">
        <v>53</v>
      </c>
      <c r="C79" s="5">
        <f>SQRT(C74^2-(E63-E77)^2)</f>
        <v>364.82671796461153</v>
      </c>
      <c r="D79" s="11"/>
      <c r="E79" s="11"/>
      <c r="F79" s="13"/>
      <c r="G79" s="7"/>
      <c r="H79" s="11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4"/>
      <c r="W79" s="4"/>
      <c r="X79" s="4"/>
      <c r="Y79" s="4"/>
      <c r="Z79" s="4"/>
    </row>
    <row r="80" spans="1:26" ht="15.75">
      <c r="A80" s="10"/>
      <c r="B80" s="14" t="s">
        <v>54</v>
      </c>
      <c r="C80" s="5">
        <f>SQRT(C76^2-(E63-E78)^2)</f>
        <v>407.07473140148591</v>
      </c>
      <c r="D80" s="11"/>
      <c r="E80" s="11"/>
      <c r="F80" s="13"/>
      <c r="G80" s="7"/>
      <c r="H80" s="31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4"/>
      <c r="W80" s="4"/>
      <c r="X80" s="4"/>
      <c r="Y80" s="4"/>
      <c r="Z80" s="4"/>
    </row>
    <row r="81" spans="1:26" ht="15.75">
      <c r="A81" s="10"/>
      <c r="B81" s="14" t="s">
        <v>55</v>
      </c>
      <c r="C81" s="5">
        <f>SQRT((C77-C78)^2+(D77-D78)^2)</f>
        <v>115.20965866971419</v>
      </c>
      <c r="D81" s="11"/>
      <c r="E81" s="11"/>
      <c r="F81" s="13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4"/>
      <c r="W81" s="4"/>
      <c r="X81" s="4"/>
      <c r="Y81" s="4"/>
      <c r="Z81" s="4"/>
    </row>
    <row r="82" spans="1:26" ht="15.75">
      <c r="A82" s="10"/>
      <c r="B82" s="14" t="s">
        <v>56</v>
      </c>
      <c r="C82" s="5">
        <f>(C80^2-C79^2-C81^2)/(2*C81)</f>
        <v>83.925417266482768</v>
      </c>
      <c r="D82" s="11"/>
      <c r="E82" s="11"/>
      <c r="F82" s="13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4"/>
      <c r="W82" s="4"/>
      <c r="X82" s="4"/>
      <c r="Y82" s="4"/>
      <c r="Z82" s="4"/>
    </row>
    <row r="83" spans="1:26" ht="15.75">
      <c r="A83" s="10"/>
      <c r="B83" s="14" t="s">
        <v>57</v>
      </c>
      <c r="C83" s="5">
        <f>C77-(SQRT((C79^2-C82^2)/(1+((C77-C78)/(D77-D78))^2))-SIGN(C77-C78)*C82*SQRT(1-1/(1+((C77-C78)/(D77-D78))^2)))</f>
        <v>-286.63368130975851</v>
      </c>
      <c r="D83" s="5">
        <f>D77-SQRT(C79^2-(C77-C83)^2)</f>
        <v>344.23238387448055</v>
      </c>
      <c r="E83" s="11"/>
      <c r="F83" s="13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4"/>
      <c r="W83" s="4"/>
      <c r="X83" s="4"/>
      <c r="Y83" s="4"/>
      <c r="Z83" s="4"/>
    </row>
    <row r="84" spans="1:26" ht="15.75">
      <c r="A84" s="10"/>
      <c r="B84" s="18" t="s">
        <v>58</v>
      </c>
      <c r="C84" s="5">
        <f>C63-C83</f>
        <v>321.37039474572754</v>
      </c>
      <c r="D84" s="5">
        <f>D63-D83</f>
        <v>97.273485374396614</v>
      </c>
      <c r="E84" s="11"/>
      <c r="F84" s="13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4"/>
      <c r="W84" s="4"/>
      <c r="X84" s="4"/>
      <c r="Y84" s="4"/>
      <c r="Z84" s="4"/>
    </row>
    <row r="85" spans="1:26" ht="15.75" thickBot="1">
      <c r="A85" s="22"/>
      <c r="B85" s="23"/>
      <c r="C85" s="23"/>
      <c r="D85" s="23"/>
      <c r="E85" s="23"/>
      <c r="F85" s="24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4"/>
      <c r="W85" s="4"/>
      <c r="X85" s="4"/>
      <c r="Y85" s="4"/>
      <c r="Z85" s="4"/>
    </row>
    <row r="86" spans="1:2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4"/>
      <c r="W86" s="4"/>
      <c r="X86" s="4"/>
      <c r="Y86" s="4"/>
      <c r="Z86" s="4"/>
    </row>
    <row r="87" spans="1:2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4"/>
      <c r="W87" s="4"/>
      <c r="X87" s="4"/>
      <c r="Y87" s="4"/>
      <c r="Z87" s="4"/>
    </row>
    <row r="88" spans="1:2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4"/>
      <c r="W88" s="4"/>
      <c r="X88" s="4"/>
      <c r="Y88" s="4"/>
      <c r="Z88" s="4"/>
    </row>
    <row r="89" spans="1:2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4"/>
      <c r="W89" s="4"/>
      <c r="X89" s="4"/>
      <c r="Y89" s="4"/>
      <c r="Z89" s="4"/>
    </row>
    <row r="90" spans="1:2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4"/>
      <c r="W90" s="4"/>
      <c r="X90" s="4"/>
      <c r="Y90" s="4"/>
      <c r="Z90" s="4"/>
    </row>
    <row r="91" spans="1:2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4"/>
      <c r="W91" s="4"/>
      <c r="X91" s="4"/>
      <c r="Y91" s="4"/>
      <c r="Z91" s="4"/>
    </row>
    <row r="92" spans="1:2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4"/>
      <c r="W92" s="4"/>
      <c r="X92" s="4"/>
      <c r="Y92" s="4"/>
      <c r="Z92" s="4"/>
    </row>
    <row r="93" spans="1:2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4"/>
      <c r="W93" s="4"/>
      <c r="X93" s="4"/>
      <c r="Y93" s="4"/>
      <c r="Z93" s="4"/>
    </row>
    <row r="94" spans="1:2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4"/>
      <c r="W94" s="4"/>
      <c r="X94" s="4"/>
      <c r="Y94" s="4"/>
      <c r="Z94" s="4"/>
    </row>
    <row r="95" spans="1:2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4"/>
      <c r="W95" s="4"/>
      <c r="X95" s="4"/>
      <c r="Y95" s="4"/>
      <c r="Z95" s="4"/>
    </row>
    <row r="96" spans="1:2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4"/>
      <c r="W96" s="4"/>
      <c r="X96" s="4"/>
      <c r="Y96" s="4"/>
      <c r="Z96" s="4"/>
    </row>
    <row r="97" spans="1:2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4"/>
      <c r="W97" s="4"/>
      <c r="X97" s="4"/>
      <c r="Y97" s="4"/>
      <c r="Z97" s="4"/>
    </row>
    <row r="98" spans="1:2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4"/>
      <c r="W98" s="4"/>
      <c r="X98" s="4"/>
      <c r="Y98" s="4"/>
      <c r="Z98" s="4"/>
    </row>
    <row r="99" spans="1:2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4"/>
      <c r="W99" s="4"/>
      <c r="X99" s="4"/>
      <c r="Y99" s="4"/>
      <c r="Z99" s="4"/>
    </row>
    <row r="100" spans="1:2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4"/>
      <c r="W100" s="4"/>
      <c r="X100" s="4"/>
      <c r="Y100" s="4"/>
      <c r="Z100" s="4"/>
    </row>
    <row r="101" spans="1:26">
      <c r="A101" s="7"/>
      <c r="B101" s="7"/>
      <c r="C101" s="7"/>
      <c r="D101" s="7"/>
      <c r="E101" s="7"/>
      <c r="F101" s="7"/>
      <c r="G101" s="7"/>
      <c r="H101" s="33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4"/>
      <c r="W101" s="4"/>
      <c r="X101" s="4"/>
      <c r="Y101" s="4"/>
      <c r="Z101" s="4"/>
    </row>
    <row r="102" spans="1:26">
      <c r="A102" s="7"/>
      <c r="B102" s="7"/>
      <c r="C102" s="7"/>
      <c r="D102" s="7"/>
      <c r="E102" s="7"/>
      <c r="F102" s="7"/>
      <c r="G102" s="7"/>
      <c r="H102" s="34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4"/>
      <c r="W102" s="4"/>
      <c r="X102" s="4"/>
      <c r="Y102" s="4"/>
      <c r="Z102" s="4"/>
    </row>
    <row r="103" spans="1:2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4"/>
      <c r="W103" s="4"/>
      <c r="X103" s="4"/>
      <c r="Y103" s="4"/>
      <c r="Z103" s="4"/>
    </row>
    <row r="104" spans="1:2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4"/>
      <c r="W104" s="4"/>
      <c r="X104" s="4"/>
      <c r="Y104" s="4"/>
      <c r="Z104" s="4"/>
    </row>
    <row r="105" spans="1:2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4"/>
      <c r="W105" s="4"/>
      <c r="X105" s="4"/>
      <c r="Y105" s="4"/>
      <c r="Z105" s="4"/>
    </row>
    <row r="106" spans="1:2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4"/>
      <c r="W106" s="4"/>
      <c r="X106" s="4"/>
      <c r="Y106" s="4"/>
      <c r="Z106" s="4"/>
    </row>
    <row r="107" spans="1:26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6" t="s">
        <v>72</v>
      </c>
      <c r="N107" s="36"/>
      <c r="O107" s="36"/>
      <c r="P107" s="36"/>
      <c r="Q107" s="36"/>
      <c r="R107" s="36"/>
      <c r="S107" s="36"/>
      <c r="T107" s="36"/>
      <c r="U107" s="36"/>
    </row>
    <row r="108" spans="1:26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6" t="s">
        <v>6</v>
      </c>
      <c r="N108" s="36" t="s">
        <v>59</v>
      </c>
      <c r="O108" s="36" t="s">
        <v>60</v>
      </c>
      <c r="P108" s="36" t="s">
        <v>61</v>
      </c>
      <c r="Q108" s="36" t="s">
        <v>62</v>
      </c>
      <c r="R108" s="36" t="s">
        <v>63</v>
      </c>
      <c r="S108" s="36" t="s">
        <v>64</v>
      </c>
      <c r="T108" s="36" t="s">
        <v>65</v>
      </c>
      <c r="U108" s="36" t="s">
        <v>66</v>
      </c>
    </row>
    <row r="109" spans="1:26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6">
        <v>0</v>
      </c>
      <c r="N109" s="37">
        <f>C28</f>
        <v>-17.288943559120263</v>
      </c>
      <c r="O109" s="37">
        <f t="shared" ref="O109:O118" si="0">$E$28+SQRT($C$40^2-($C$28-N109)^2)</f>
        <v>317.33952593337511</v>
      </c>
      <c r="P109" s="37">
        <f>C28</f>
        <v>-17.288943559120263</v>
      </c>
      <c r="Q109" s="37">
        <f>$E$28+SQRT($C$50^2-($C$28-N109)^2)</f>
        <v>291.62854079316475</v>
      </c>
      <c r="R109" s="37">
        <f>C34</f>
        <v>1193.7560394201387</v>
      </c>
      <c r="S109" s="37">
        <f>E34+C43</f>
        <v>1309.3069642641888</v>
      </c>
      <c r="T109" s="37">
        <f>C36</f>
        <v>1193.1547675280976</v>
      </c>
      <c r="U109" s="37">
        <f>E36+C53</f>
        <v>1318.6858410702957</v>
      </c>
    </row>
    <row r="110" spans="1:26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6">
        <f>M109+9</f>
        <v>9</v>
      </c>
      <c r="N110" s="36">
        <f t="shared" ref="N110:N120" si="1">$N$109+($C$40*SIN(RADIANS(M110)))</f>
        <v>76.194922985591575</v>
      </c>
      <c r="O110" s="37">
        <f t="shared" si="0"/>
        <v>309.98218607574148</v>
      </c>
      <c r="P110" s="37">
        <f t="shared" ref="P110:P120" si="2">$N$109+($C$50*SIN(RADIANS(M110)))</f>
        <v>72.172838779525449</v>
      </c>
      <c r="Q110" s="37">
        <f t="shared" ref="Q110:Q118" si="3">$E$28+SQRT($C$50^2-($C$28-P110)^2)</f>
        <v>284.5877458275408</v>
      </c>
      <c r="R110" s="37">
        <f t="shared" ref="R110:R124" si="4">$C$34-SQRT($C$43^2-($E$34-S110)^2)</f>
        <v>634.9273315558421</v>
      </c>
      <c r="S110" s="37">
        <f t="shared" ref="S110:S119" si="5">$S$109-$C$43*SIN(RADIANS(M110))</f>
        <v>1146.5214938783797</v>
      </c>
      <c r="T110" s="37">
        <f t="shared" ref="T110:T124" si="6">$C$36-SQRT($C$53^2-($E$36-U110)^2)</f>
        <v>628.00566958874617</v>
      </c>
      <c r="U110" s="37">
        <f t="shared" ref="U110:U119" si="7">$U$109-$C$53*SIN(RADIANS(M110))</f>
        <v>1154.0592561230646</v>
      </c>
    </row>
    <row r="111" spans="1:26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6">
        <f>M110+9</f>
        <v>18</v>
      </c>
      <c r="N111" s="36">
        <f t="shared" si="1"/>
        <v>167.37690648080721</v>
      </c>
      <c r="O111" s="37">
        <f t="shared" si="0"/>
        <v>288.09132862774646</v>
      </c>
      <c r="P111" s="37">
        <f t="shared" si="2"/>
        <v>159.43177513036048</v>
      </c>
      <c r="Q111" s="37">
        <f t="shared" si="3"/>
        <v>263.63872866978153</v>
      </c>
      <c r="R111" s="37">
        <f t="shared" si="4"/>
        <v>441.53755544247269</v>
      </c>
      <c r="S111" s="37">
        <f t="shared" si="5"/>
        <v>987.74434202747159</v>
      </c>
      <c r="T111" s="37">
        <f t="shared" si="6"/>
        <v>432.4286421685581</v>
      </c>
      <c r="U111" s="37">
        <f t="shared" si="7"/>
        <v>993.48632406154559</v>
      </c>
    </row>
    <row r="112" spans="1:26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6">
        <f t="shared" ref="M112:M124" si="8">M111+9</f>
        <v>27</v>
      </c>
      <c r="N112" s="36">
        <f t="shared" si="1"/>
        <v>254.01180387722096</v>
      </c>
      <c r="O112" s="37">
        <f t="shared" si="0"/>
        <v>252.20597915135028</v>
      </c>
      <c r="P112" s="37">
        <f t="shared" si="2"/>
        <v>242.33926088462076</v>
      </c>
      <c r="Q112" s="37">
        <f t="shared" si="3"/>
        <v>229.29732364811275</v>
      </c>
      <c r="R112" s="37">
        <f t="shared" si="4"/>
        <v>321.96448175286889</v>
      </c>
      <c r="S112" s="37">
        <f t="shared" si="5"/>
        <v>836.88512914118905</v>
      </c>
      <c r="T112" s="37">
        <f t="shared" si="6"/>
        <v>311.50318901534388</v>
      </c>
      <c r="U112" s="37">
        <f t="shared" si="7"/>
        <v>840.92088338410133</v>
      </c>
    </row>
    <row r="113" spans="1:2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6">
        <f t="shared" si="8"/>
        <v>36</v>
      </c>
      <c r="N113" s="36">
        <f t="shared" si="1"/>
        <v>333.96637647619315</v>
      </c>
      <c r="O113" s="37">
        <f t="shared" si="0"/>
        <v>203.20975404730876</v>
      </c>
      <c r="P113" s="37">
        <f t="shared" si="2"/>
        <v>318.85383858886661</v>
      </c>
      <c r="Q113" s="37">
        <f t="shared" si="3"/>
        <v>182.40913012675685</v>
      </c>
      <c r="R113" s="37">
        <f t="shared" si="4"/>
        <v>245.68056651987331</v>
      </c>
      <c r="S113" s="37">
        <f t="shared" si="5"/>
        <v>697.65850971381519</v>
      </c>
      <c r="T113" s="37">
        <f t="shared" si="6"/>
        <v>234.35649759719558</v>
      </c>
      <c r="U113" s="37">
        <f t="shared" si="7"/>
        <v>700.11960157587873</v>
      </c>
    </row>
    <row r="114" spans="1:2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6">
        <f t="shared" si="8"/>
        <v>45</v>
      </c>
      <c r="N114" s="36">
        <f t="shared" si="1"/>
        <v>405.27187734632395</v>
      </c>
      <c r="O114" s="37">
        <f t="shared" si="0"/>
        <v>142.3091029868317</v>
      </c>
      <c r="P114" s="37">
        <f t="shared" si="2"/>
        <v>387.09146540269461</v>
      </c>
      <c r="Q114" s="37">
        <f t="shared" si="3"/>
        <v>124.12869104320237</v>
      </c>
      <c r="R114" s="37">
        <f t="shared" si="4"/>
        <v>198.79281827480656</v>
      </c>
      <c r="S114" s="37">
        <f t="shared" si="5"/>
        <v>573.49270518231071</v>
      </c>
      <c r="T114" s="37">
        <f t="shared" si="6"/>
        <v>186.93844578239555</v>
      </c>
      <c r="U114" s="37">
        <f t="shared" si="7"/>
        <v>574.54947348765972</v>
      </c>
    </row>
    <row r="115" spans="1:2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6">
        <f t="shared" si="8"/>
        <v>54</v>
      </c>
      <c r="N115" s="36">
        <f t="shared" si="1"/>
        <v>466.17252840680112</v>
      </c>
      <c r="O115" s="37">
        <f t="shared" si="0"/>
        <v>71.003602116700847</v>
      </c>
      <c r="P115" s="37">
        <f t="shared" si="2"/>
        <v>445.37190448624915</v>
      </c>
      <c r="Q115" s="37">
        <f t="shared" si="3"/>
        <v>55.891064229374251</v>
      </c>
      <c r="R115" s="37">
        <f t="shared" si="4"/>
        <v>172.31147430107546</v>
      </c>
      <c r="S115" s="37">
        <f t="shared" si="5"/>
        <v>467.44508973692029</v>
      </c>
      <c r="T115" s="37">
        <f t="shared" si="6"/>
        <v>160.15759603655533</v>
      </c>
      <c r="U115" s="37">
        <f t="shared" si="7"/>
        <v>467.30245241633827</v>
      </c>
    </row>
    <row r="116" spans="1:2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6">
        <f t="shared" si="8"/>
        <v>63</v>
      </c>
      <c r="N116" s="36">
        <f t="shared" si="1"/>
        <v>515.16875351084252</v>
      </c>
      <c r="O116" s="37">
        <f t="shared" si="0"/>
        <v>-8.9509704822711456</v>
      </c>
      <c r="P116" s="37">
        <f t="shared" si="2"/>
        <v>492.260098007605</v>
      </c>
      <c r="Q116" s="37">
        <f t="shared" si="3"/>
        <v>-20.623513474871459</v>
      </c>
      <c r="R116" s="37">
        <f t="shared" si="4"/>
        <v>159.35693684724515</v>
      </c>
      <c r="S116" s="37">
        <f t="shared" si="5"/>
        <v>382.12690762176749</v>
      </c>
      <c r="T116" s="37">
        <f t="shared" si="6"/>
        <v>147.05654189738334</v>
      </c>
      <c r="U116" s="37">
        <f t="shared" si="7"/>
        <v>381.01931595314693</v>
      </c>
    </row>
    <row r="117" spans="1:2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6">
        <f t="shared" si="8"/>
        <v>72</v>
      </c>
      <c r="N117" s="36">
        <f t="shared" si="1"/>
        <v>551.05410298723871</v>
      </c>
      <c r="O117" s="37">
        <f t="shared" si="0"/>
        <v>-95.585867878685121</v>
      </c>
      <c r="P117" s="37">
        <f t="shared" si="2"/>
        <v>526.60150302927377</v>
      </c>
      <c r="Q117" s="37">
        <f t="shared" si="3"/>
        <v>-103.53099922913191</v>
      </c>
      <c r="R117" s="37">
        <f t="shared" si="4"/>
        <v>154.40464057503982</v>
      </c>
      <c r="S117" s="37">
        <f t="shared" si="5"/>
        <v>319.63897563533919</v>
      </c>
      <c r="T117" s="37">
        <f t="shared" si="6"/>
        <v>142.0482348229998</v>
      </c>
      <c r="U117" s="37">
        <f t="shared" si="7"/>
        <v>317.82464127512151</v>
      </c>
    </row>
    <row r="118" spans="1:2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6">
        <f t="shared" si="8"/>
        <v>81</v>
      </c>
      <c r="N118" s="36">
        <f t="shared" si="1"/>
        <v>572.94496043523372</v>
      </c>
      <c r="O118" s="37">
        <f t="shared" si="0"/>
        <v>-186.76785137390084</v>
      </c>
      <c r="P118" s="37">
        <f t="shared" si="2"/>
        <v>547.55052018703304</v>
      </c>
      <c r="Q118" s="37">
        <f t="shared" si="3"/>
        <v>-190.78993557996657</v>
      </c>
      <c r="R118" s="37">
        <f t="shared" si="4"/>
        <v>153.23640320535469</v>
      </c>
      <c r="S118" s="37">
        <f t="shared" si="5"/>
        <v>281.51995404869785</v>
      </c>
      <c r="T118" s="37">
        <f t="shared" si="6"/>
        <v>140.8667846105011</v>
      </c>
      <c r="U118" s="37">
        <f t="shared" si="7"/>
        <v>279.27449100393619</v>
      </c>
    </row>
    <row r="119" spans="1:2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6">
        <f t="shared" si="8"/>
        <v>90</v>
      </c>
      <c r="N119" s="36">
        <f t="shared" si="1"/>
        <v>580.30230029286736</v>
      </c>
      <c r="O119" s="37">
        <f>E28</f>
        <v>-280.25171791861254</v>
      </c>
      <c r="P119" s="37">
        <f t="shared" si="2"/>
        <v>554.59131515265699</v>
      </c>
      <c r="Q119" s="37">
        <f>E28</f>
        <v>-280.25171791861254</v>
      </c>
      <c r="R119" s="37">
        <f t="shared" si="4"/>
        <v>153.15753483903632</v>
      </c>
      <c r="S119" s="37">
        <f t="shared" si="5"/>
        <v>268.7084596830864</v>
      </c>
      <c r="T119" s="37">
        <f t="shared" si="6"/>
        <v>140.787024237683</v>
      </c>
      <c r="U119" s="37">
        <f t="shared" si="7"/>
        <v>266.3180977798811</v>
      </c>
    </row>
    <row r="120" spans="1:2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6">
        <f t="shared" si="8"/>
        <v>99</v>
      </c>
      <c r="N120" s="36">
        <f t="shared" si="1"/>
        <v>572.94496043523372</v>
      </c>
      <c r="O120" s="36"/>
      <c r="P120" s="37">
        <f t="shared" si="2"/>
        <v>547.55052018703304</v>
      </c>
      <c r="Q120" s="36"/>
      <c r="R120" s="37">
        <f t="shared" si="4"/>
        <v>153.23640320535469</v>
      </c>
      <c r="S120" s="37">
        <f>$S$119-$C$43*(1-SIN(RADIANS(M120)))</f>
        <v>255.89696531747489</v>
      </c>
      <c r="T120" s="37">
        <f t="shared" si="6"/>
        <v>140.8667846105011</v>
      </c>
      <c r="U120" s="37">
        <f>$U$119-$C$53*(1-SIN(RADIANS(M120)))</f>
        <v>253.36170455582604</v>
      </c>
    </row>
    <row r="121" spans="1:2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6">
        <f t="shared" si="8"/>
        <v>108</v>
      </c>
      <c r="N121" s="36"/>
      <c r="O121" s="36"/>
      <c r="P121" s="36"/>
      <c r="Q121" s="36"/>
      <c r="R121" s="37">
        <f t="shared" si="4"/>
        <v>154.40464057503982</v>
      </c>
      <c r="S121" s="37">
        <f>$S$119-$C$43*(1-SIN(RADIANS(M121)))</f>
        <v>217.77794373083373</v>
      </c>
      <c r="T121" s="37">
        <f t="shared" si="6"/>
        <v>142.0482348229998</v>
      </c>
      <c r="U121" s="37">
        <f>$U$119-$C$53*(1-SIN(RADIANS(M121)))</f>
        <v>214.81155428464075</v>
      </c>
    </row>
    <row r="122" spans="1:2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6">
        <f t="shared" si="8"/>
        <v>117</v>
      </c>
      <c r="N122" s="36"/>
      <c r="O122" s="36"/>
      <c r="P122" s="36"/>
      <c r="Q122" s="36"/>
      <c r="R122" s="37">
        <f t="shared" si="4"/>
        <v>159.35693684724515</v>
      </c>
      <c r="S122" s="37">
        <f>$S$119-$C$43*(1-SIN(RADIANS(M122)))</f>
        <v>155.29001174440549</v>
      </c>
      <c r="T122" s="37">
        <f t="shared" si="6"/>
        <v>147.05654189738334</v>
      </c>
      <c r="U122" s="37">
        <f>$U$119-$C$53*(1-SIN(RADIANS(M122)))</f>
        <v>151.61687960661544</v>
      </c>
    </row>
    <row r="123" spans="1:2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6">
        <f t="shared" si="8"/>
        <v>126</v>
      </c>
      <c r="N123" s="36"/>
      <c r="O123" s="36"/>
      <c r="P123" s="36"/>
      <c r="Q123" s="36"/>
      <c r="R123" s="37">
        <f t="shared" si="4"/>
        <v>172.31147430107558</v>
      </c>
      <c r="S123" s="37">
        <f>$S$119-$C$43*(1-SIN(RADIANS(M123)))</f>
        <v>69.971829629252454</v>
      </c>
      <c r="T123" s="37">
        <f t="shared" si="6"/>
        <v>160.15759603655533</v>
      </c>
      <c r="U123" s="37">
        <f>$U$119-$C$53*(1-SIN(RADIANS(M123)))</f>
        <v>65.333743143423987</v>
      </c>
    </row>
    <row r="124" spans="1:2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6">
        <f t="shared" si="8"/>
        <v>135</v>
      </c>
      <c r="N124" s="36"/>
      <c r="O124" s="36"/>
      <c r="P124" s="36"/>
      <c r="Q124" s="36"/>
      <c r="R124" s="37">
        <f t="shared" si="4"/>
        <v>198.79281827480656</v>
      </c>
      <c r="S124" s="37">
        <f>$S$119-$C$43*(1-SIN(RADIANS(M124)))</f>
        <v>-36.075785816137795</v>
      </c>
      <c r="T124" s="37">
        <f t="shared" si="6"/>
        <v>186.93844578239555</v>
      </c>
      <c r="U124" s="37">
        <f>$U$119-$C$53*(1-SIN(RADIANS(M124)))</f>
        <v>-41.913277927897468</v>
      </c>
    </row>
    <row r="125" spans="1:2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8"/>
      <c r="S125" s="38"/>
      <c r="T125" s="38"/>
      <c r="U125" s="38"/>
    </row>
    <row r="126" spans="1:2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6" t="s">
        <v>73</v>
      </c>
      <c r="N126" s="36"/>
      <c r="O126" s="36"/>
      <c r="P126" s="36"/>
      <c r="Q126" s="36"/>
      <c r="R126" s="35"/>
      <c r="S126" s="35"/>
      <c r="T126" s="35"/>
      <c r="U126" s="38"/>
    </row>
    <row r="127" spans="1:2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6" t="s">
        <v>6</v>
      </c>
      <c r="N127" s="36" t="s">
        <v>68</v>
      </c>
      <c r="O127" s="36" t="s">
        <v>69</v>
      </c>
      <c r="P127" s="36" t="s">
        <v>70</v>
      </c>
      <c r="Q127" s="36" t="s">
        <v>71</v>
      </c>
      <c r="R127" s="35"/>
      <c r="S127" s="35"/>
      <c r="T127" s="35"/>
      <c r="U127" s="35"/>
    </row>
    <row r="128" spans="1:2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6">
        <v>0</v>
      </c>
      <c r="N128" s="36">
        <f>D77-C79</f>
        <v>77.231834647369567</v>
      </c>
      <c r="O128" s="36">
        <f>C77</f>
        <v>64.832639766631814</v>
      </c>
      <c r="P128" s="36">
        <f>D78-C80</f>
        <v>150.10431529762423</v>
      </c>
      <c r="Q128" s="36">
        <f>C78</f>
        <v>60.300830864290567</v>
      </c>
      <c r="R128" s="35"/>
      <c r="S128" s="35"/>
      <c r="T128" s="35"/>
      <c r="U128" s="35"/>
    </row>
    <row r="129" spans="1:2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6">
        <f>M128+9</f>
        <v>9</v>
      </c>
      <c r="N129" s="36">
        <f t="shared" ref="N129:N138" si="9">$N$128+($C$79-$C$79*COS(RADIANS(M129)))</f>
        <v>81.723456940743574</v>
      </c>
      <c r="O129" s="36">
        <f t="shared" ref="O129:O138" si="10">$O$128-SQRT($C$79^2-($D$77-N129)^2)</f>
        <v>7.7611673094547129</v>
      </c>
      <c r="P129" s="36">
        <f t="shared" ref="P129:P138" si="11">$P$128+($C$80-$C$80*COS(RADIANS(M129)))</f>
        <v>155.1160807429651</v>
      </c>
      <c r="Q129" s="36">
        <f t="shared" ref="Q129:Q138" si="12">$Q$128-SQRT($C$80^2-($D$78-P129)^2)</f>
        <v>-3.3796869738964617</v>
      </c>
      <c r="R129" s="35"/>
      <c r="S129" s="35"/>
      <c r="T129" s="35"/>
      <c r="U129" s="35"/>
    </row>
    <row r="130" spans="1:2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6">
        <f t="shared" ref="M130:M138" si="13">M129+9</f>
        <v>18</v>
      </c>
      <c r="N130" s="36">
        <f t="shared" si="9"/>
        <v>95.087725173163165</v>
      </c>
      <c r="O130" s="36">
        <f t="shared" si="10"/>
        <v>-47.905016086469217</v>
      </c>
      <c r="P130" s="36">
        <f t="shared" si="11"/>
        <v>170.02797078062758</v>
      </c>
      <c r="Q130" s="36">
        <f t="shared" si="12"/>
        <v>-65.492179119385639</v>
      </c>
      <c r="R130" s="35"/>
      <c r="S130" s="35"/>
      <c r="T130" s="35"/>
      <c r="U130" s="35"/>
    </row>
    <row r="131" spans="1:2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6">
        <f t="shared" si="13"/>
        <v>27</v>
      </c>
      <c r="N131" s="36">
        <f t="shared" si="9"/>
        <v>116.99556670728259</v>
      </c>
      <c r="O131" s="36">
        <f t="shared" si="10"/>
        <v>-100.7952242404609</v>
      </c>
      <c r="P131" s="36">
        <f t="shared" si="11"/>
        <v>194.4728051881587</v>
      </c>
      <c r="Q131" s="36">
        <f t="shared" si="12"/>
        <v>-124.50722987601176</v>
      </c>
      <c r="R131" s="35"/>
      <c r="S131" s="35"/>
      <c r="T131" s="35"/>
      <c r="U131" s="35"/>
    </row>
    <row r="132" spans="1:2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6">
        <f t="shared" si="13"/>
        <v>36</v>
      </c>
      <c r="N132" s="36">
        <f t="shared" si="9"/>
        <v>146.90753777657443</v>
      </c>
      <c r="O132" s="36">
        <f t="shared" si="10"/>
        <v>-149.60712469523233</v>
      </c>
      <c r="P132" s="36">
        <f t="shared" si="11"/>
        <v>227.84867101469098</v>
      </c>
      <c r="Q132" s="36">
        <f t="shared" si="12"/>
        <v>-178.97169283442258</v>
      </c>
      <c r="R132" s="35"/>
      <c r="S132" s="35"/>
      <c r="T132" s="35"/>
      <c r="U132" s="35"/>
    </row>
    <row r="133" spans="1:2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6">
        <f t="shared" si="13"/>
        <v>45</v>
      </c>
      <c r="N133" s="36">
        <f t="shared" si="9"/>
        <v>184.08710638117225</v>
      </c>
      <c r="O133" s="36">
        <f t="shared" si="10"/>
        <v>-193.13880646417709</v>
      </c>
      <c r="P133" s="36">
        <f t="shared" si="11"/>
        <v>269.333743675427</v>
      </c>
      <c r="Q133" s="36">
        <f t="shared" si="12"/>
        <v>-227.54447215939251</v>
      </c>
      <c r="R133" s="35"/>
      <c r="S133" s="35"/>
      <c r="T133" s="35"/>
      <c r="U133" s="35"/>
    </row>
    <row r="134" spans="1:2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6">
        <f t="shared" si="13"/>
        <v>54</v>
      </c>
      <c r="N134" s="36">
        <f t="shared" si="9"/>
        <v>227.61878815011696</v>
      </c>
      <c r="O134" s="36">
        <f t="shared" si="10"/>
        <v>-230.31837506877486</v>
      </c>
      <c r="P134" s="36">
        <f t="shared" si="11"/>
        <v>317.90652300039699</v>
      </c>
      <c r="Q134" s="36">
        <f t="shared" si="12"/>
        <v>-269.02954482012859</v>
      </c>
      <c r="R134" s="35"/>
      <c r="S134" s="35"/>
      <c r="T134" s="35"/>
      <c r="U134" s="35"/>
    </row>
    <row r="135" spans="1:2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6">
        <f t="shared" si="13"/>
        <v>63</v>
      </c>
      <c r="N135" s="36">
        <f t="shared" si="9"/>
        <v>276.43068860488842</v>
      </c>
      <c r="O135" s="36">
        <f t="shared" si="10"/>
        <v>-260.23034613806675</v>
      </c>
      <c r="P135" s="36">
        <f t="shared" si="11"/>
        <v>372.37098595880775</v>
      </c>
      <c r="Q135" s="36">
        <f t="shared" si="12"/>
        <v>-302.40541064666081</v>
      </c>
      <c r="R135" s="35"/>
      <c r="S135" s="35"/>
      <c r="T135" s="35"/>
      <c r="U135" s="35"/>
    </row>
    <row r="136" spans="1:2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6">
        <f t="shared" si="13"/>
        <v>72</v>
      </c>
      <c r="N136" s="36">
        <f t="shared" si="9"/>
        <v>329.32089675888017</v>
      </c>
      <c r="O136" s="36">
        <f t="shared" si="10"/>
        <v>-282.13818767218618</v>
      </c>
      <c r="P136" s="36">
        <f t="shared" si="11"/>
        <v>431.38603671543393</v>
      </c>
      <c r="Q136" s="36">
        <f t="shared" si="12"/>
        <v>-326.85024505419199</v>
      </c>
      <c r="R136" s="35"/>
      <c r="S136" s="35"/>
      <c r="T136" s="35"/>
      <c r="U136" s="35"/>
    </row>
    <row r="137" spans="1:2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6">
        <f t="shared" si="13"/>
        <v>81</v>
      </c>
      <c r="N137" s="36">
        <f t="shared" si="9"/>
        <v>384.98708015480389</v>
      </c>
      <c r="O137" s="36">
        <f t="shared" si="10"/>
        <v>-295.50245590460571</v>
      </c>
      <c r="P137" s="36">
        <f t="shared" si="11"/>
        <v>493.49852886092299</v>
      </c>
      <c r="Q137" s="36">
        <f t="shared" si="12"/>
        <v>-341.76213509185442</v>
      </c>
      <c r="R137" s="35"/>
      <c r="S137" s="35"/>
      <c r="T137" s="35"/>
      <c r="U137" s="35"/>
    </row>
    <row r="138" spans="1:2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6">
        <f t="shared" si="13"/>
        <v>90</v>
      </c>
      <c r="N138" s="36">
        <f t="shared" si="9"/>
        <v>442.0585526119811</v>
      </c>
      <c r="O138" s="36">
        <f t="shared" si="10"/>
        <v>-299.99407819797972</v>
      </c>
      <c r="P138" s="36">
        <f t="shared" si="11"/>
        <v>557.17904669911013</v>
      </c>
      <c r="Q138" s="36">
        <f t="shared" si="12"/>
        <v>-346.77390053719535</v>
      </c>
      <c r="R138" s="35"/>
      <c r="S138" s="35"/>
      <c r="T138" s="35"/>
      <c r="U138" s="35"/>
    </row>
    <row r="139" spans="1:2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</row>
  </sheetData>
  <sheetProtection sheet="1" objects="1" scenarios="1"/>
  <mergeCells count="3">
    <mergeCell ref="B11:E11"/>
    <mergeCell ref="B31:E31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Calculations &amp; sample data</vt:lpstr>
    </vt:vector>
  </TitlesOfParts>
  <Company>Insurance Institute for Highway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Brumbelow</dc:creator>
  <cp:lastModifiedBy>BMueller</cp:lastModifiedBy>
  <dcterms:created xsi:type="dcterms:W3CDTF">2012-11-15T15:44:58Z</dcterms:created>
  <dcterms:modified xsi:type="dcterms:W3CDTF">2013-08-09T15:07:42Z</dcterms:modified>
</cp:coreProperties>
</file>